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angelo\Quantum Capital Dropbox\Enzo D'Angelo\Venezula Project\Data Room Site\UPLOAD-THIS-TO-NETLIFY-7.16.26-V3\documents\"/>
    </mc:Choice>
  </mc:AlternateContent>
  <xr:revisionPtr revIDLastSave="0" documentId="13_ncr:1_{1BC6B633-F6EF-4735-B83C-B7FD884C770E}" xr6:coauthVersionLast="47" xr6:coauthVersionMax="47" xr10:uidLastSave="{00000000-0000-0000-0000-000000000000}"/>
  <bookViews>
    <workbookView xWindow="19875" yWindow="-16425" windowWidth="29040" windowHeight="15720" tabRatio="500" xr2:uid="{00000000-000D-0000-FFFF-FFFF00000000}"/>
  </bookViews>
  <sheets>
    <sheet name="Assumptions" sheetId="1" r:id="rId1"/>
    <sheet name="Pro Forma" sheetId="2" r:id="rId2"/>
    <sheet name="Waterfall &amp; Returns" sheetId="3" r:id="rId3"/>
    <sheet name="Sensitivity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3" l="1"/>
  <c r="E10" i="3"/>
  <c r="C10" i="3"/>
  <c r="B10" i="3"/>
  <c r="I10" i="3" s="1"/>
  <c r="I9" i="3"/>
  <c r="H9" i="3"/>
  <c r="E9" i="3"/>
  <c r="C9" i="3"/>
  <c r="B9" i="3"/>
  <c r="H8" i="3"/>
  <c r="C8" i="3"/>
  <c r="B8" i="3"/>
  <c r="I8" i="3" s="1"/>
  <c r="I7" i="3"/>
  <c r="H7" i="3"/>
  <c r="C7" i="3"/>
  <c r="B7" i="3"/>
  <c r="H6" i="3"/>
  <c r="C6" i="3"/>
  <c r="B6" i="3"/>
  <c r="I6" i="3" s="1"/>
  <c r="K37" i="2"/>
  <c r="J37" i="2"/>
  <c r="I37" i="2"/>
  <c r="H37" i="2"/>
  <c r="G37" i="2"/>
  <c r="K35" i="2"/>
  <c r="K34" i="2"/>
  <c r="J34" i="2"/>
  <c r="I34" i="2"/>
  <c r="H34" i="2"/>
  <c r="G34" i="2"/>
  <c r="F34" i="2"/>
  <c r="E34" i="2"/>
  <c r="D34" i="2"/>
  <c r="C34" i="2"/>
  <c r="K32" i="2"/>
  <c r="J32" i="2"/>
  <c r="I32" i="2"/>
  <c r="H32" i="2"/>
  <c r="G32" i="2"/>
  <c r="F32" i="2"/>
  <c r="E32" i="2"/>
  <c r="D32" i="2"/>
  <c r="C32" i="2"/>
  <c r="K31" i="2"/>
  <c r="J31" i="2"/>
  <c r="I31" i="2"/>
  <c r="H31" i="2"/>
  <c r="G31" i="2"/>
  <c r="F31" i="2"/>
  <c r="E31" i="2"/>
  <c r="D31" i="2"/>
  <c r="C31" i="2"/>
  <c r="K27" i="2"/>
  <c r="J27" i="2"/>
  <c r="I27" i="2"/>
  <c r="H27" i="2"/>
  <c r="G27" i="2"/>
  <c r="F27" i="2"/>
  <c r="E27" i="2"/>
  <c r="D27" i="2"/>
  <c r="C27" i="2"/>
  <c r="K23" i="2"/>
  <c r="J23" i="2"/>
  <c r="H23" i="2"/>
  <c r="G23" i="2"/>
  <c r="F23" i="2"/>
  <c r="E23" i="2"/>
  <c r="D23" i="2"/>
  <c r="C23" i="2"/>
  <c r="K20" i="2"/>
  <c r="J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K18" i="2"/>
  <c r="J18" i="2"/>
  <c r="I18" i="2"/>
  <c r="H18" i="2"/>
  <c r="G18" i="2"/>
  <c r="F18" i="2"/>
  <c r="E18" i="2"/>
  <c r="D18" i="2"/>
  <c r="D19" i="2" s="1"/>
  <c r="C18" i="2"/>
  <c r="C19" i="2" s="1"/>
  <c r="D9" i="3" s="1"/>
  <c r="F9" i="3" s="1"/>
  <c r="G9" i="3" s="1"/>
  <c r="K15" i="2"/>
  <c r="J15" i="2"/>
  <c r="I15" i="2"/>
  <c r="G15" i="2"/>
  <c r="F15" i="2"/>
  <c r="E15" i="2"/>
  <c r="D15" i="2"/>
  <c r="C15" i="2"/>
  <c r="K12" i="2"/>
  <c r="I12" i="2"/>
  <c r="H12" i="2"/>
  <c r="G12" i="2"/>
  <c r="F12" i="2"/>
  <c r="E12" i="2"/>
  <c r="D12" i="2"/>
  <c r="C12" i="2"/>
  <c r="F11" i="2"/>
  <c r="F28" i="2" s="1"/>
  <c r="E11" i="2"/>
  <c r="E28" i="2" s="1"/>
  <c r="D11" i="2"/>
  <c r="D28" i="2" s="1"/>
  <c r="C11" i="2"/>
  <c r="K10" i="2"/>
  <c r="K33" i="2" s="1"/>
  <c r="F10" i="2"/>
  <c r="F33" i="2" s="1"/>
  <c r="E10" i="2"/>
  <c r="E33" i="2" s="1"/>
  <c r="D10" i="2"/>
  <c r="D33" i="2" s="1"/>
  <c r="C10" i="2"/>
  <c r="K7" i="2"/>
  <c r="K29" i="2" s="1"/>
  <c r="J7" i="2"/>
  <c r="I7" i="2"/>
  <c r="H7" i="2"/>
  <c r="F7" i="2"/>
  <c r="F29" i="2" s="1"/>
  <c r="E7" i="2"/>
  <c r="E29" i="2" s="1"/>
  <c r="D7" i="2"/>
  <c r="D29" i="2" s="1"/>
  <c r="C7" i="2"/>
  <c r="B47" i="1"/>
  <c r="B40" i="1"/>
  <c r="B27" i="1"/>
  <c r="B22" i="1"/>
  <c r="I20" i="2" s="1"/>
  <c r="B21" i="1"/>
  <c r="B20" i="1"/>
  <c r="B19" i="1"/>
  <c r="B18" i="1"/>
  <c r="B23" i="1" s="1"/>
  <c r="B17" i="1"/>
  <c r="H15" i="2" s="1"/>
  <c r="H29" i="2" l="1"/>
  <c r="G10" i="2"/>
  <c r="E7" i="3" s="1"/>
  <c r="J10" i="2"/>
  <c r="H10" i="2"/>
  <c r="I10" i="2"/>
  <c r="D8" i="3"/>
  <c r="F8" i="3" s="1"/>
  <c r="G8" i="3" s="1"/>
  <c r="E30" i="2"/>
  <c r="D6" i="3"/>
  <c r="F6" i="3" s="1"/>
  <c r="G6" i="3" s="1"/>
  <c r="G35" i="2" s="1"/>
  <c r="F30" i="2"/>
  <c r="D30" i="2"/>
  <c r="C29" i="2"/>
  <c r="C30" i="2" s="1"/>
  <c r="C33" i="2"/>
  <c r="E6" i="3"/>
  <c r="G7" i="2"/>
  <c r="G29" i="2" s="1"/>
  <c r="I23" i="2"/>
  <c r="D10" i="3" s="1"/>
  <c r="F10" i="3" s="1"/>
  <c r="G10" i="3" s="1"/>
  <c r="I35" i="2" s="1"/>
  <c r="E8" i="3"/>
  <c r="C28" i="2"/>
  <c r="K11" i="2"/>
  <c r="K28" i="2" s="1"/>
  <c r="K30" i="2" s="1"/>
  <c r="K36" i="2" s="1"/>
  <c r="K38" i="2" s="1"/>
  <c r="C35" i="2"/>
  <c r="D35" i="2"/>
  <c r="E35" i="2"/>
  <c r="F35" i="2"/>
  <c r="H35" i="2"/>
  <c r="C36" i="2" l="1"/>
  <c r="E36" i="2"/>
  <c r="H33" i="2"/>
  <c r="H11" i="2"/>
  <c r="H28" i="2" s="1"/>
  <c r="H30" i="2" s="1"/>
  <c r="H36" i="2" s="1"/>
  <c r="H38" i="2" s="1"/>
  <c r="I29" i="2"/>
  <c r="G33" i="2"/>
  <c r="G11" i="2"/>
  <c r="J33" i="2"/>
  <c r="J11" i="2"/>
  <c r="D36" i="2"/>
  <c r="I33" i="2"/>
  <c r="I11" i="2"/>
  <c r="I28" i="2" s="1"/>
  <c r="I30" i="2" s="1"/>
  <c r="I36" i="2" s="1"/>
  <c r="I38" i="2" s="1"/>
  <c r="F36" i="2"/>
  <c r="D37" i="2" l="1"/>
  <c r="D38" i="2"/>
  <c r="J28" i="2"/>
  <c r="J12" i="2"/>
  <c r="J29" i="2" s="1"/>
  <c r="G28" i="2"/>
  <c r="G30" i="2" s="1"/>
  <c r="D7" i="3"/>
  <c r="F7" i="3" s="1"/>
  <c r="G7" i="3" s="1"/>
  <c r="J35" i="2" s="1"/>
  <c r="E38" i="2"/>
  <c r="E37" i="2"/>
  <c r="F37" i="2"/>
  <c r="F38" i="2"/>
  <c r="C37" i="2"/>
  <c r="C38" i="2"/>
  <c r="J30" i="2" l="1"/>
  <c r="J36" i="2" s="1"/>
  <c r="J38" i="2" s="1"/>
  <c r="G36" i="2"/>
  <c r="G38" i="2" s="1"/>
  <c r="B15" i="3"/>
  <c r="B14" i="3"/>
  <c r="B17" i="3"/>
  <c r="B16" i="3"/>
</calcChain>
</file>

<file path=xl/sharedStrings.xml><?xml version="1.0" encoding="utf-8"?>
<sst xmlns="http://schemas.openxmlformats.org/spreadsheetml/2006/main" count="130" uniqueCount="106">
  <si>
    <t>SPEARHEAD FUND I — FUND PRO FORMA (v3 · 60/20/20: MARGARITA LAND · MARGARITA HOSPITALITY · CARACAS TROPHY OFFICE)</t>
  </si>
  <si>
    <t>All drivers on this tab. Blue = inputs. Scenario toggle drives the full model.</t>
  </si>
  <si>
    <t>SCENARIO TOGGLE (1=Downside, 2=Base, 3=Upside)</t>
  </si>
  <si>
    <t>Scenario drivers</t>
  </si>
  <si>
    <t>Downside — transition stalls</t>
  </si>
  <si>
    <t>Base — transition holds</t>
  </si>
  <si>
    <t>Upside — full repricing</t>
  </si>
  <si>
    <t>Land exit ($/m²)</t>
  </si>
  <si>
    <t>Stabilized ADR (% of Caribbean avg $349 — IRR/CoStar Q1 2026)</t>
  </si>
  <si>
    <t>Stabilized occupancy</t>
  </si>
  <si>
    <t>Hotel exit cap rate</t>
  </si>
  <si>
    <t>Hotel exit at entry basis (1=yes)</t>
  </si>
  <si>
    <t>Office exit ($/m²)</t>
  </si>
  <si>
    <t>Downside: all three legs held for income, exited at entry basis — land $220/m² (marginally below the ~$222 all-in basis), hotel at basis, office at $2,000/m² with rent from yr 2. Base: land ~59% of Margarita’s 2011 peak; ADR $190 (~54% of the 2025 Caribbean average of $349 — IRR/CoStar Q1 2026; below the DR’s $236); office exits yr 5–6 at $3,300/m² ($307 PSF) — ~60% of the tier’s documented 2012 average of $5,500/m² (FVI public-offering data via Banca y Negocios, Jun 2021). Upside: land at 2011 peak; ADR $229 (~66% of the 2025 average); 8.5% cap; office at $5,500/m² — full reversion to the tier’s documented 2012 average. The $7,000/m² 2007 maximum (TIR/FVI registered-transaction study) is a ceiling reference only — never underwritten; the subsequent crash to ~$1,000 average by 2020 is disclosed wherever it appears.</t>
  </si>
  <si>
    <t>ACTIVE SCENARIO (driven by toggle)</t>
  </si>
  <si>
    <t>ADR % of Caribbean</t>
  </si>
  <si>
    <t>Hotel basis-exit flag</t>
  </si>
  <si>
    <t>Stabilized ADR ($)</t>
  </si>
  <si>
    <t>FUND CONSTANTS</t>
  </si>
  <si>
    <t>Caribbean average ADR ($) — IRR Caribbean Hospitality Market Report Q1 2026 (CoStar data): 2025 ADR $349</t>
  </si>
  <si>
    <t>All-in basis ($/key) — hotel, computed from deal schedule</t>
  </si>
  <si>
    <t>Hotel NOI margin</t>
  </si>
  <si>
    <t>Selling costs</t>
  </si>
  <si>
    <t>ADR start (% of stabilized)</t>
  </si>
  <si>
    <t>Occupancy start</t>
  </si>
  <si>
    <t>Committed capital ($)</t>
  </si>
  <si>
    <t>Acquisition fee (% purchase price)</t>
  </si>
  <si>
    <t>Management fee (% p.a. on DEPLOYED capital)</t>
  </si>
  <si>
    <t>OpCo fee (% of HOTEL property revenue — hospitality only; office carries no OpCo fee)</t>
  </si>
  <si>
    <t>Preferred return (simple, on called capital)</t>
  </si>
  <si>
    <t>Carried interest</t>
  </si>
  <si>
    <t>Organizational expenses — absorbed within the year-1 fund expense allowance below (no separate charge)</t>
  </si>
  <si>
    <t>Fund expenses — organizational + administration combined: $150,000 per annum (yrs 1–7)</t>
  </si>
  <si>
    <t>All-in basis ($/m²) — land, computed from deal schedule</t>
  </si>
  <si>
    <t>CARACAS TROPHY OFFICE CONSTANTS (prime east submarkets: Las Mercedes · La Castellana · Chacao · Altamira · El Rosal)</t>
  </si>
  <si>
    <t>Office area (m²)</t>
  </si>
  <si>
    <t>Office rent ($/m²/month) — mid-band of 10-listing prime-east comp set (≥100 m², Century 21 / RE/MAX / MLS Caracas / MercadoLibre, Jul 2026 — S5, comp file on request); no rent growth modeled</t>
  </si>
  <si>
    <t>Office NOI margin (landlord bears condominio on vacant space)</t>
  </si>
  <si>
    <t>Lease-up occupancy — ownership yrs 1–5 (yr 1 = acquisition, title, fit-out; rents commence yr 2)</t>
  </si>
  <si>
    <t>Office entry all-in ($/m² — acquisition + fit-out + closing; hard cap in investment guidelines)</t>
  </si>
  <si>
    <t>DEAL SCHEDULE (deployment over 24 months — capital called per acquisition)</t>
  </si>
  <si>
    <t>Deal</t>
  </si>
  <si>
    <t>Type</t>
  </si>
  <si>
    <t>Equity ($)</t>
  </si>
  <si>
    <t>Acq yr</t>
  </si>
  <si>
    <t>Hold (yrs)</t>
  </si>
  <si>
    <t>Exit yr</t>
  </si>
  <si>
    <t>Open yr (hotels)</t>
  </si>
  <si>
    <t>Keys</t>
  </si>
  <si>
    <t>Land m²</t>
  </si>
  <si>
    <t>Land I</t>
  </si>
  <si>
    <t>L</t>
  </si>
  <si>
    <t>Hotel (Margarita, ~85 keys)</t>
  </si>
  <si>
    <t>H</t>
  </si>
  <si>
    <t>Land II</t>
  </si>
  <si>
    <t>Caracas Office</t>
  </si>
  <si>
    <t>O</t>
  </si>
  <si>
    <t>Land III (target, same basis)</t>
  </si>
  <si>
    <t>PRO FORMA — ANNUAL CASH FLOWS (active scenario)</t>
  </si>
  <si>
    <t>Years run from first close. All formulas trace to Assumptions.</t>
  </si>
  <si>
    <t>Year</t>
  </si>
  <si>
    <t>Land I (per schedule)</t>
  </si>
  <si>
    <t>Sale proceeds (net)</t>
  </si>
  <si>
    <t>Hotel — Margarita, ~85 keys (per schedule; dark yrs 1–3)</t>
  </si>
  <si>
    <t>Revenue</t>
  </si>
  <si>
    <t>NOI</t>
  </si>
  <si>
    <t>Land II (per schedule)</t>
  </si>
  <si>
    <t>Caracas Office (per schedule — rents commence yr 2; landlord bears condominio on vacancy; no OpCo fee)</t>
  </si>
  <si>
    <t>Rent revenue</t>
  </si>
  <si>
    <t>Land III — target, same basis (per schedule)</t>
  </si>
  <si>
    <t>FUND-LEVEL</t>
  </si>
  <si>
    <t>Capital calls</t>
  </si>
  <si>
    <t>Total NOI</t>
  </si>
  <si>
    <t>Total sale proceeds</t>
  </si>
  <si>
    <t>GROSS FUND CASH FLOW</t>
  </si>
  <si>
    <t>Acquisition fees</t>
  </si>
  <si>
    <t>Management fees (on deployed)</t>
  </si>
  <si>
    <t>OpCo fees (3% of HOTEL revenue — hospitality only)</t>
  </si>
  <si>
    <t>Org / fund expenses</t>
  </si>
  <si>
    <t>Carried interest paid</t>
  </si>
  <si>
    <t>NET LP CASH FLOW</t>
  </si>
  <si>
    <t>Distributions withheld — repositioning reserve (yrs 0–3)</t>
  </si>
  <si>
    <t>NET LP CASH FLOW (distributions commence yr 4)</t>
  </si>
  <si>
    <t>WATERFALL &amp; RETURNS</t>
  </si>
  <si>
    <t>Per-deal carry — 8% simple pref on called capital, 100% catch-up, 80/20, no cross-collateralization. OpCo fee applies to hotel revenue only; the Caracas office carries no OpCo fee.</t>
  </si>
  <si>
    <t>Equity</t>
  </si>
  <si>
    <t>Hold</t>
  </si>
  <si>
    <t>Gross distributions</t>
  </si>
  <si>
    <t>Deal-level fees</t>
  </si>
  <si>
    <t>Profit after fees</t>
  </si>
  <si>
    <t>Carry</t>
  </si>
  <si>
    <t>Pref</t>
  </si>
  <si>
    <t>FUND RETURNS — ACTIVE SCENARIO (formula-driven; flip the toggle on Assumptions to switch)</t>
  </si>
  <si>
    <t>Gross MOIC</t>
  </si>
  <si>
    <t>Gross IRR</t>
  </si>
  <si>
    <t>Net LP MOIC</t>
  </si>
  <si>
    <t>Net LP IRR</t>
  </si>
  <si>
    <t>THREE-SCENARIO SUMMARY</t>
  </si>
  <si>
    <t>Values computed from this model at each toggle position (verify: set toggle to 1/2/3 and compare to Fund Returns above).</t>
  </si>
  <si>
    <t>Downside — stalls</t>
  </si>
  <si>
    <t>Downside: all three legs held for income and exited at entry basis — land $220/m² (marginally below the ~$222 all-in basis), hotel at basis, office at $2,000/m² with rent from yr 2 (office sleeve ~1.19x gross); net LP ~0.88x. The income-producing office leg replaces part of the dark-hotel exposure and improves downside composition, but the floor remains ~0.88x — the 60% land sleeve exits at entry less selling costs. Base: 60/20/20; land ~59% of 2011 peak; ADR $190 (~54% of the 2025 Caribbean average of $349 — IRR/CoStar Q1 2026; below the DR’s $236); hotels dark yrs 1–3, 10% exit cap; office exits yr 6 at $3,300/m² — ~60% of the tier’s documented 2012 average of $5,500/m² (FVI public-offering data) — office sleeve ~1.81x gross incl. rent, price-reversion underwriting. Upside: land at 2011 peak; ADR $229 (~66%); 8.5% cap; office at $5,500/m² — full reversion to the tier’s documented 2012 average (office sleeve ~2.85x gross).</t>
  </si>
  <si>
    <t>SENSITIVITY — NET LP IRR</t>
  </si>
  <si>
    <t>Grid computed from this model (base occupancy 66%, 10% cap, basis flag 0, Caracas office held at base $3,300/m² exit throughout). Re-derive any cell by setting the drivers on Assumptions.</t>
  </si>
  <si>
    <t>Land exit $/m² (rows) × Stabilized ADR % of Caribbean (cols)</t>
  </si>
  <si>
    <t>Yellow = base case (land $1,300/m² · ADR 58% of Caribbean).</t>
  </si>
  <si>
    <t>ortfolio: 60/20/20 by deployed equity — Margarita land $16.5M (appreciation engine; Land I, II &amp; III modeled as acquisition targets at the same ~$222/m² ($21 PSF) all-in basis) · Margarita hospitality $5.5M (~85 keys targeted at ~$65K/key all-in = ~$38K acquisition + ~$25K repositioning capex + ~$2K pre-opening; modeled as a re-sized program — asset mapping is a pipeline decision) · Caracas trophy Class A office $5.5M (~2,750 m² targeted at $2,000/m² / $186 PSF all-in hard cap; hard-currency income from yr 2 + downside support). Hotels dark yrs 1–3, open yr 4, exit yr 7 (window yrs 7–8) at stabilized NOI, 10% base cap. Office rents commence yr 2; exit yrs 5–6 at $3,300/m² base — price-reversion underwriting (see deck methodology); no rent growth modeled. Waterfall: 8% simple pref on called capital, 100% catch-up, 80/20 per deal, no cross-collateralization; carry subject to fund-level clawback per Terms. The modeled portfolio reflects identified targets and basis disciplines; capital is called per acquisition as transactions are contracted.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</si>
</sst>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charset val="1"/>
    </font>
    <font>
      <b/>
      <sz val="13"/>
      <name val="Calibri"/>
      <charset val="1"/>
    </font>
    <font>
      <i/>
      <sz val="10"/>
      <color rgb="FF666666"/>
      <name val="Calibri"/>
      <charset val="1"/>
    </font>
    <font>
      <b/>
      <sz val="11"/>
      <name val="Calibri"/>
      <charset val="1"/>
    </font>
    <font>
      <b/>
      <sz val="11"/>
      <color rgb="FF1F4E79"/>
      <name val="Calibri"/>
      <charset val="1"/>
    </font>
    <font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CCFFFF"/>
      </patternFill>
    </fill>
    <fill>
      <patternFill patternType="solid">
        <fgColor rgb="FFFFF2CC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0" xfId="0" applyFont="1" applyFill="1"/>
    <xf numFmtId="3" fontId="4" fillId="2" borderId="0" xfId="0" applyNumberFormat="1" applyFont="1" applyFill="1"/>
    <xf numFmtId="164" fontId="4" fillId="2" borderId="0" xfId="0" applyNumberFormat="1" applyFont="1" applyFill="1"/>
    <xf numFmtId="3" fontId="5" fillId="0" borderId="0" xfId="0" applyNumberFormat="1" applyFont="1"/>
    <xf numFmtId="164" fontId="5" fillId="0" borderId="0" xfId="0" applyNumberFormat="1" applyFont="1"/>
    <xf numFmtId="3" fontId="3" fillId="0" borderId="0" xfId="0" applyNumberFormat="1" applyFont="1"/>
    <xf numFmtId="3" fontId="0" fillId="0" borderId="0" xfId="0" applyNumberFormat="1"/>
    <xf numFmtId="16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39" zoomScaleNormal="100" workbookViewId="0">
      <selection activeCell="D57" sqref="D57"/>
    </sheetView>
  </sheetViews>
  <sheetFormatPr defaultColWidth="8.625" defaultRowHeight="15.75" x14ac:dyDescent="0.5"/>
  <cols>
    <col min="1" max="1" width="52" customWidth="1"/>
    <col min="2" max="11" width="13" customWidth="1"/>
  </cols>
  <sheetData>
    <row r="1" spans="1:4" ht="15.75" customHeight="1" x14ac:dyDescent="0.5">
      <c r="A1" s="1" t="s">
        <v>0</v>
      </c>
    </row>
    <row r="2" spans="1:4" ht="15" customHeight="1" x14ac:dyDescent="0.5">
      <c r="A2" s="2" t="s">
        <v>1</v>
      </c>
    </row>
    <row r="4" spans="1:4" ht="15" customHeight="1" x14ac:dyDescent="0.5">
      <c r="A4" s="3" t="s">
        <v>2</v>
      </c>
      <c r="B4" s="4">
        <v>2</v>
      </c>
    </row>
    <row r="6" spans="1:4" ht="15" customHeight="1" x14ac:dyDescent="0.5">
      <c r="A6" s="3" t="s">
        <v>3</v>
      </c>
    </row>
    <row r="7" spans="1:4" ht="15" customHeight="1" x14ac:dyDescent="0.5">
      <c r="B7" s="3" t="s">
        <v>4</v>
      </c>
      <c r="C7" s="3" t="s">
        <v>5</v>
      </c>
      <c r="D7" s="3" t="s">
        <v>6</v>
      </c>
    </row>
    <row r="8" spans="1:4" ht="15" customHeight="1" x14ac:dyDescent="0.5">
      <c r="A8" t="s">
        <v>7</v>
      </c>
      <c r="B8" s="5">
        <v>220</v>
      </c>
      <c r="C8" s="5">
        <v>1300</v>
      </c>
      <c r="D8" s="5">
        <v>2200</v>
      </c>
    </row>
    <row r="9" spans="1:4" ht="15" customHeight="1" x14ac:dyDescent="0.5">
      <c r="A9" t="s">
        <v>8</v>
      </c>
      <c r="B9" s="6">
        <v>0.15759300000000001</v>
      </c>
      <c r="C9" s="6">
        <v>0.54441300000000004</v>
      </c>
      <c r="D9" s="6">
        <v>0.65615999999999997</v>
      </c>
    </row>
    <row r="10" spans="1:4" ht="15" customHeight="1" x14ac:dyDescent="0.5">
      <c r="A10" t="s">
        <v>9</v>
      </c>
      <c r="B10" s="6">
        <v>0.48</v>
      </c>
      <c r="C10" s="6">
        <v>0.66</v>
      </c>
      <c r="D10" s="6">
        <v>0.66</v>
      </c>
    </row>
    <row r="11" spans="1:4" ht="15" customHeight="1" x14ac:dyDescent="0.5">
      <c r="A11" t="s">
        <v>10</v>
      </c>
      <c r="B11" s="6">
        <v>0.14000000000000001</v>
      </c>
      <c r="C11" s="6">
        <v>0.1</v>
      </c>
      <c r="D11" s="6">
        <v>8.5000000000000006E-2</v>
      </c>
    </row>
    <row r="12" spans="1:4" ht="15" customHeight="1" x14ac:dyDescent="0.5">
      <c r="A12" t="s">
        <v>11</v>
      </c>
      <c r="B12" s="5">
        <v>1</v>
      </c>
      <c r="C12" s="5">
        <v>0</v>
      </c>
      <c r="D12" s="5">
        <v>0</v>
      </c>
    </row>
    <row r="13" spans="1:4" ht="15" customHeight="1" x14ac:dyDescent="0.5">
      <c r="A13" t="s">
        <v>12</v>
      </c>
      <c r="B13" s="5">
        <v>2000</v>
      </c>
      <c r="C13" s="5">
        <v>3300</v>
      </c>
      <c r="D13" s="5">
        <v>5500</v>
      </c>
    </row>
    <row r="14" spans="1:4" ht="135.75" customHeight="1" x14ac:dyDescent="0.5">
      <c r="A14" s="2" t="s">
        <v>13</v>
      </c>
    </row>
    <row r="16" spans="1:4" ht="15" customHeight="1" x14ac:dyDescent="0.5">
      <c r="A16" s="3" t="s">
        <v>14</v>
      </c>
    </row>
    <row r="17" spans="1:2" ht="15" customHeight="1" x14ac:dyDescent="0.5">
      <c r="A17" t="s">
        <v>7</v>
      </c>
      <c r="B17" s="7">
        <f t="shared" ref="B17:B22" si="0">INDEX(B8:D8,$B$4)</f>
        <v>1300</v>
      </c>
    </row>
    <row r="18" spans="1:2" ht="15" customHeight="1" x14ac:dyDescent="0.5">
      <c r="A18" t="s">
        <v>15</v>
      </c>
      <c r="B18" s="8">
        <f t="shared" si="0"/>
        <v>0.54441300000000004</v>
      </c>
    </row>
    <row r="19" spans="1:2" ht="15" customHeight="1" x14ac:dyDescent="0.5">
      <c r="A19" t="s">
        <v>9</v>
      </c>
      <c r="B19" s="8">
        <f t="shared" si="0"/>
        <v>0.66</v>
      </c>
    </row>
    <row r="20" spans="1:2" ht="15" customHeight="1" x14ac:dyDescent="0.5">
      <c r="A20" t="s">
        <v>10</v>
      </c>
      <c r="B20" s="8">
        <f t="shared" si="0"/>
        <v>0.1</v>
      </c>
    </row>
    <row r="21" spans="1:2" ht="15" customHeight="1" x14ac:dyDescent="0.5">
      <c r="A21" t="s">
        <v>16</v>
      </c>
      <c r="B21" s="7">
        <f t="shared" si="0"/>
        <v>0</v>
      </c>
    </row>
    <row r="22" spans="1:2" ht="15" customHeight="1" x14ac:dyDescent="0.5">
      <c r="A22" t="s">
        <v>12</v>
      </c>
      <c r="B22" s="7">
        <f t="shared" si="0"/>
        <v>3300</v>
      </c>
    </row>
    <row r="23" spans="1:2" ht="15" customHeight="1" x14ac:dyDescent="0.5">
      <c r="A23" t="s">
        <v>17</v>
      </c>
      <c r="B23" s="7">
        <f>B18*B26</f>
        <v>190.00013700000002</v>
      </c>
    </row>
    <row r="25" spans="1:2" ht="15" customHeight="1" x14ac:dyDescent="0.5">
      <c r="A25" s="3" t="s">
        <v>18</v>
      </c>
    </row>
    <row r="26" spans="1:2" ht="15" customHeight="1" x14ac:dyDescent="0.5">
      <c r="A26" t="s">
        <v>19</v>
      </c>
      <c r="B26" s="5">
        <v>349</v>
      </c>
    </row>
    <row r="27" spans="1:2" ht="15" customHeight="1" x14ac:dyDescent="0.5">
      <c r="A27" t="s">
        <v>20</v>
      </c>
      <c r="B27" s="7">
        <f>C52/H52</f>
        <v>64705.882352941175</v>
      </c>
    </row>
    <row r="28" spans="1:2" ht="15" customHeight="1" x14ac:dyDescent="0.5">
      <c r="A28" t="s">
        <v>21</v>
      </c>
      <c r="B28" s="6">
        <v>0.35</v>
      </c>
    </row>
    <row r="29" spans="1:2" ht="15" customHeight="1" x14ac:dyDescent="0.5">
      <c r="A29" t="s">
        <v>22</v>
      </c>
      <c r="B29" s="6">
        <v>0.05</v>
      </c>
    </row>
    <row r="30" spans="1:2" ht="15" customHeight="1" x14ac:dyDescent="0.5">
      <c r="A30" t="s">
        <v>23</v>
      </c>
      <c r="B30" s="6">
        <v>0.55000000000000004</v>
      </c>
    </row>
    <row r="31" spans="1:2" ht="15" customHeight="1" x14ac:dyDescent="0.5">
      <c r="A31" t="s">
        <v>24</v>
      </c>
      <c r="B31" s="6">
        <v>0.48</v>
      </c>
    </row>
    <row r="32" spans="1:2" ht="15" customHeight="1" x14ac:dyDescent="0.5">
      <c r="A32" t="s">
        <v>25</v>
      </c>
      <c r="B32" s="5">
        <v>27500000</v>
      </c>
    </row>
    <row r="33" spans="1:6" ht="15" customHeight="1" x14ac:dyDescent="0.5">
      <c r="A33" t="s">
        <v>26</v>
      </c>
      <c r="B33" s="6">
        <v>0.02</v>
      </c>
    </row>
    <row r="34" spans="1:6" ht="15" customHeight="1" x14ac:dyDescent="0.5">
      <c r="A34" t="s">
        <v>27</v>
      </c>
      <c r="B34" s="6">
        <v>0.02</v>
      </c>
    </row>
    <row r="35" spans="1:6" ht="15" customHeight="1" x14ac:dyDescent="0.5">
      <c r="A35" t="s">
        <v>28</v>
      </c>
      <c r="B35" s="6">
        <v>0.03</v>
      </c>
    </row>
    <row r="36" spans="1:6" ht="15" customHeight="1" x14ac:dyDescent="0.5">
      <c r="A36" t="s">
        <v>29</v>
      </c>
      <c r="B36" s="6">
        <v>0.08</v>
      </c>
    </row>
    <row r="37" spans="1:6" ht="15" customHeight="1" x14ac:dyDescent="0.5">
      <c r="A37" t="s">
        <v>30</v>
      </c>
      <c r="B37" s="6">
        <v>0.2</v>
      </c>
    </row>
    <row r="38" spans="1:6" ht="15" customHeight="1" x14ac:dyDescent="0.5">
      <c r="A38" t="s">
        <v>31</v>
      </c>
      <c r="B38" s="5">
        <v>0</v>
      </c>
    </row>
    <row r="39" spans="1:6" ht="15" customHeight="1" x14ac:dyDescent="0.5">
      <c r="A39" t="s">
        <v>32</v>
      </c>
      <c r="B39" s="5">
        <v>150000</v>
      </c>
    </row>
    <row r="40" spans="1:6" ht="15" customHeight="1" x14ac:dyDescent="0.5">
      <c r="A40" t="s">
        <v>33</v>
      </c>
      <c r="B40" s="7">
        <f>(C51+C53+C55)/(I51+I53+I55)</f>
        <v>222.20426632191339</v>
      </c>
    </row>
    <row r="42" spans="1:6" ht="15" customHeight="1" x14ac:dyDescent="0.5">
      <c r="A42" s="3" t="s">
        <v>34</v>
      </c>
    </row>
    <row r="43" spans="1:6" ht="15" customHeight="1" x14ac:dyDescent="0.5">
      <c r="A43" t="s">
        <v>35</v>
      </c>
      <c r="B43" s="5">
        <v>2750</v>
      </c>
    </row>
    <row r="44" spans="1:6" ht="15" customHeight="1" x14ac:dyDescent="0.5">
      <c r="A44" t="s">
        <v>36</v>
      </c>
      <c r="B44" s="5">
        <v>18</v>
      </c>
    </row>
    <row r="45" spans="1:6" ht="15" customHeight="1" x14ac:dyDescent="0.5">
      <c r="A45" t="s">
        <v>37</v>
      </c>
      <c r="B45" s="6">
        <v>0.65</v>
      </c>
    </row>
    <row r="46" spans="1:6" ht="15" customHeight="1" x14ac:dyDescent="0.5">
      <c r="A46" t="s">
        <v>38</v>
      </c>
      <c r="B46" s="6">
        <v>0</v>
      </c>
      <c r="C46" s="6">
        <v>0.4</v>
      </c>
      <c r="D46" s="6">
        <v>0.65</v>
      </c>
      <c r="E46" s="6">
        <v>0.8</v>
      </c>
      <c r="F46" s="6">
        <v>0.8</v>
      </c>
    </row>
    <row r="47" spans="1:6" ht="15" customHeight="1" x14ac:dyDescent="0.5">
      <c r="A47" t="s">
        <v>39</v>
      </c>
      <c r="B47" s="7">
        <f>C54/B43</f>
        <v>2000</v>
      </c>
    </row>
    <row r="49" spans="1:9" ht="15" customHeight="1" x14ac:dyDescent="0.5">
      <c r="A49" s="3" t="s">
        <v>40</v>
      </c>
    </row>
    <row r="50" spans="1:9" ht="15" customHeight="1" x14ac:dyDescent="0.5">
      <c r="A50" s="3" t="s">
        <v>41</v>
      </c>
      <c r="B50" s="3" t="s">
        <v>42</v>
      </c>
      <c r="C50" s="3" t="s">
        <v>43</v>
      </c>
      <c r="D50" s="3" t="s">
        <v>44</v>
      </c>
      <c r="E50" s="3" t="s">
        <v>45</v>
      </c>
      <c r="F50" s="3" t="s">
        <v>46</v>
      </c>
      <c r="G50" s="3" t="s">
        <v>47</v>
      </c>
      <c r="H50" s="3" t="s">
        <v>48</v>
      </c>
      <c r="I50" s="3" t="s">
        <v>49</v>
      </c>
    </row>
    <row r="51" spans="1:9" ht="15" customHeight="1" x14ac:dyDescent="0.5">
      <c r="A51" t="s">
        <v>50</v>
      </c>
      <c r="B51" t="s">
        <v>51</v>
      </c>
      <c r="C51" s="5">
        <v>6875000</v>
      </c>
      <c r="D51" s="5">
        <v>0</v>
      </c>
      <c r="E51" s="5">
        <v>4</v>
      </c>
      <c r="F51" s="5">
        <v>4</v>
      </c>
      <c r="I51" s="5">
        <v>30940</v>
      </c>
    </row>
    <row r="52" spans="1:9" ht="15" customHeight="1" x14ac:dyDescent="0.5">
      <c r="A52" t="s">
        <v>52</v>
      </c>
      <c r="B52" t="s">
        <v>53</v>
      </c>
      <c r="C52" s="5">
        <v>5500000</v>
      </c>
      <c r="D52" s="5">
        <v>0</v>
      </c>
      <c r="E52" s="5">
        <v>7</v>
      </c>
      <c r="F52" s="5">
        <v>7</v>
      </c>
      <c r="G52" s="5">
        <v>4</v>
      </c>
      <c r="H52" s="5">
        <v>85</v>
      </c>
    </row>
    <row r="53" spans="1:9" ht="15" customHeight="1" x14ac:dyDescent="0.5">
      <c r="A53" t="s">
        <v>54</v>
      </c>
      <c r="B53" t="s">
        <v>51</v>
      </c>
      <c r="C53" s="5">
        <v>6875000</v>
      </c>
      <c r="D53" s="5">
        <v>1</v>
      </c>
      <c r="E53" s="5">
        <v>4</v>
      </c>
      <c r="F53" s="5">
        <v>5</v>
      </c>
      <c r="I53" s="5">
        <v>30940</v>
      </c>
    </row>
    <row r="54" spans="1:9" ht="15" customHeight="1" x14ac:dyDescent="0.5">
      <c r="A54" t="s">
        <v>55</v>
      </c>
      <c r="B54" t="s">
        <v>56</v>
      </c>
      <c r="C54" s="5">
        <v>5500000</v>
      </c>
      <c r="D54" s="5">
        <v>1</v>
      </c>
      <c r="E54" s="5">
        <v>5</v>
      </c>
      <c r="F54" s="5">
        <v>6</v>
      </c>
      <c r="I54" s="5">
        <v>2750</v>
      </c>
    </row>
    <row r="55" spans="1:9" ht="15" customHeight="1" x14ac:dyDescent="0.5">
      <c r="A55" t="s">
        <v>57</v>
      </c>
      <c r="B55" t="s">
        <v>51</v>
      </c>
      <c r="C55" s="5">
        <v>2750000</v>
      </c>
      <c r="D55" s="5">
        <v>2</v>
      </c>
      <c r="E55" s="5">
        <v>4</v>
      </c>
      <c r="F55" s="5">
        <v>6</v>
      </c>
      <c r="I55" s="5">
        <v>12376</v>
      </c>
    </row>
    <row r="57" spans="1:9" ht="168.75" customHeight="1" x14ac:dyDescent="0.5">
      <c r="A57" s="2" t="s">
        <v>105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Normal="100" workbookViewId="0"/>
  </sheetViews>
  <sheetFormatPr defaultColWidth="8.625" defaultRowHeight="15.75" x14ac:dyDescent="0.5"/>
  <cols>
    <col min="1" max="1" width="10" customWidth="1"/>
    <col min="2" max="2" width="46" customWidth="1"/>
    <col min="3" max="11" width="13" customWidth="1"/>
  </cols>
  <sheetData>
    <row r="1" spans="1:11" ht="15.75" customHeight="1" x14ac:dyDescent="0.5">
      <c r="A1" s="1" t="s">
        <v>58</v>
      </c>
    </row>
    <row r="2" spans="1:11" ht="68.25" customHeight="1" x14ac:dyDescent="0.5">
      <c r="A2" s="2" t="s">
        <v>59</v>
      </c>
    </row>
    <row r="4" spans="1:11" ht="15" customHeight="1" x14ac:dyDescent="0.5">
      <c r="B4" s="3" t="s">
        <v>60</v>
      </c>
      <c r="C4" s="3">
        <v>0</v>
      </c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</row>
    <row r="6" spans="1:11" ht="15" customHeight="1" x14ac:dyDescent="0.5">
      <c r="A6" s="3" t="s">
        <v>61</v>
      </c>
    </row>
    <row r="7" spans="1:11" ht="15" customHeight="1" x14ac:dyDescent="0.5">
      <c r="B7" t="s">
        <v>62</v>
      </c>
      <c r="C7" s="7">
        <f>IF(C$4=Assumptions!$F$51,Assumptions!$I$51*Assumptions!$B$17*(1-Assumptions!$B$29),0)</f>
        <v>0</v>
      </c>
      <c r="D7" s="7">
        <f>IF(D$4=Assumptions!$F$51,Assumptions!$I$51*Assumptions!$B$17*(1-Assumptions!$B$29),0)</f>
        <v>0</v>
      </c>
      <c r="E7" s="7">
        <f>IF(E$4=Assumptions!$F$51,Assumptions!$I$51*Assumptions!$B$17*(1-Assumptions!$B$29),0)</f>
        <v>0</v>
      </c>
      <c r="F7" s="7">
        <f>IF(F$4=Assumptions!$F$51,Assumptions!$I$51*Assumptions!$B$17*(1-Assumptions!$B$29),0)</f>
        <v>0</v>
      </c>
      <c r="G7" s="7">
        <f>IF(G$4=Assumptions!$F$51,Assumptions!$I$51*Assumptions!$B$17*(1-Assumptions!$B$29),0)</f>
        <v>38210900</v>
      </c>
      <c r="H7" s="7">
        <f>IF(H$4=Assumptions!$F$51,Assumptions!$I$51*Assumptions!$B$17*(1-Assumptions!$B$29),0)</f>
        <v>0</v>
      </c>
      <c r="I7" s="7">
        <f>IF(I$4=Assumptions!$F$51,Assumptions!$I$51*Assumptions!$B$17*(1-Assumptions!$B$29),0)</f>
        <v>0</v>
      </c>
      <c r="J7" s="7">
        <f>IF(J$4=Assumptions!$F$51,Assumptions!$I$51*Assumptions!$B$17*(1-Assumptions!$B$29),0)</f>
        <v>0</v>
      </c>
      <c r="K7" s="7">
        <f>IF(K$4=Assumptions!$F$51,Assumptions!$I$51*Assumptions!$B$17*(1-Assumptions!$B$29),0)</f>
        <v>0</v>
      </c>
    </row>
    <row r="9" spans="1:11" ht="15" customHeight="1" x14ac:dyDescent="0.5">
      <c r="A9" s="3" t="s">
        <v>63</v>
      </c>
    </row>
    <row r="10" spans="1:11" ht="15" customHeight="1" x14ac:dyDescent="0.5">
      <c r="B10" t="s">
        <v>64</v>
      </c>
      <c r="C10" s="7">
        <f>IF(AND(C$4&gt;=Assumptions!$G$52,C$4&lt;=Assumptions!$F$52),Assumptions!$H$52*365*Assumptions!$B$23*(Assumptions!$B$30+(1-Assumptions!$B$30)*MIN(1,(C$4-Assumptions!$G$52)/2))*(Assumptions!$B$31+(Assumptions!$B$19-Assumptions!$B$31)*MIN(1,(C$4-Assumptions!$G$52)/2)),0)</f>
        <v>0</v>
      </c>
      <c r="D10" s="7">
        <f>IF(AND(D$4&gt;=Assumptions!$G$52,D$4&lt;=Assumptions!$F$52),Assumptions!$H$52*365*Assumptions!$B$23*(Assumptions!$B$30+(1-Assumptions!$B$30)*MIN(1,(D$4-Assumptions!$G$52)/2))*(Assumptions!$B$31+(Assumptions!$B$19-Assumptions!$B$31)*MIN(1,(D$4-Assumptions!$G$52)/2)),0)</f>
        <v>0</v>
      </c>
      <c r="E10" s="7">
        <f>IF(AND(E$4&gt;=Assumptions!$G$52,E$4&lt;=Assumptions!$F$52),Assumptions!$H$52*365*Assumptions!$B$23*(Assumptions!$B$30+(1-Assumptions!$B$30)*MIN(1,(E$4-Assumptions!$G$52)/2))*(Assumptions!$B$31+(Assumptions!$B$19-Assumptions!$B$31)*MIN(1,(E$4-Assumptions!$G$52)/2)),0)</f>
        <v>0</v>
      </c>
      <c r="F10" s="7">
        <f>IF(AND(F$4&gt;=Assumptions!$G$52,F$4&lt;=Assumptions!$F$52),Assumptions!$H$52*365*Assumptions!$B$23*(Assumptions!$B$30+(1-Assumptions!$B$30)*MIN(1,(F$4-Assumptions!$G$52)/2))*(Assumptions!$B$31+(Assumptions!$B$19-Assumptions!$B$31)*MIN(1,(F$4-Assumptions!$G$52)/2)),0)</f>
        <v>0</v>
      </c>
      <c r="G10" s="7">
        <f>IF(AND(G$4&gt;=Assumptions!$G$52,G$4&lt;=Assumptions!$F$52),Assumptions!$H$52*365*Assumptions!$B$23*(Assumptions!$B$30+(1-Assumptions!$B$30)*MIN(1,(G$4-Assumptions!$G$52)/2))*(Assumptions!$B$31+(Assumptions!$B$19-Assumptions!$B$31)*MIN(1,(G$4-Assumptions!$G$52)/2)),0)</f>
        <v>1556215.1221122004</v>
      </c>
      <c r="H10" s="7">
        <f>IF(AND(H$4&gt;=Assumptions!$G$52,H$4&lt;=Assumptions!$F$52),Assumptions!$H$52*365*Assumptions!$B$23*(Assumptions!$B$30+(1-Assumptions!$B$30)*MIN(1,(H$4-Assumptions!$G$52)/2))*(Assumptions!$B$31+(Assumptions!$B$19-Assumptions!$B$31)*MIN(1,(H$4-Assumptions!$G$52)/2)),0)</f>
        <v>2604007.6901252442</v>
      </c>
      <c r="I10" s="7">
        <f>IF(AND(I$4&gt;=Assumptions!$G$52,I$4&lt;=Assumptions!$F$52),Assumptions!$H$52*365*Assumptions!$B$23*(Assumptions!$B$30+(1-Assumptions!$B$30)*MIN(1,(I$4-Assumptions!$G$52)/2))*(Assumptions!$B$31+(Assumptions!$B$19-Assumptions!$B$31)*MIN(1,(I$4-Assumptions!$G$52)/2)),0)</f>
        <v>3890537.8052805006</v>
      </c>
      <c r="J10" s="7">
        <f>IF(AND(J$4&gt;=Assumptions!$G$52,J$4&lt;=Assumptions!$F$52),Assumptions!$H$52*365*Assumptions!$B$23*(Assumptions!$B$30+(1-Assumptions!$B$30)*MIN(1,(J$4-Assumptions!$G$52)/2))*(Assumptions!$B$31+(Assumptions!$B$19-Assumptions!$B$31)*MIN(1,(J$4-Assumptions!$G$52)/2)),0)</f>
        <v>3890537.8052805006</v>
      </c>
      <c r="K10" s="7">
        <f>IF(AND(K$4&gt;=Assumptions!$G$52,K$4&lt;=Assumptions!$F$52),Assumptions!$H$52*365*Assumptions!$B$23*(Assumptions!$B$30+(1-Assumptions!$B$30)*MIN(1,(K$4-Assumptions!$G$52)/2))*(Assumptions!$B$31+(Assumptions!$B$19-Assumptions!$B$31)*MIN(1,(K$4-Assumptions!$G$52)/2)),0)</f>
        <v>0</v>
      </c>
    </row>
    <row r="11" spans="1:11" ht="15" customHeight="1" x14ac:dyDescent="0.5">
      <c r="B11" t="s">
        <v>65</v>
      </c>
      <c r="C11" s="7">
        <f>C10*Assumptions!$B$28</f>
        <v>0</v>
      </c>
      <c r="D11" s="7">
        <f>D10*Assumptions!$B$28</f>
        <v>0</v>
      </c>
      <c r="E11" s="7">
        <f>E10*Assumptions!$B$28</f>
        <v>0</v>
      </c>
      <c r="F11" s="7">
        <f>F10*Assumptions!$B$28</f>
        <v>0</v>
      </c>
      <c r="G11" s="7">
        <f>G10*Assumptions!$B$28</f>
        <v>544675.29273927014</v>
      </c>
      <c r="H11" s="7">
        <f>H10*Assumptions!$B$28</f>
        <v>911402.69154383545</v>
      </c>
      <c r="I11" s="7">
        <f>I10*Assumptions!$B$28</f>
        <v>1361688.2318481752</v>
      </c>
      <c r="J11" s="7">
        <f>J10*Assumptions!$B$28</f>
        <v>1361688.2318481752</v>
      </c>
      <c r="K11" s="7">
        <f>K10*Assumptions!$B$28</f>
        <v>0</v>
      </c>
    </row>
    <row r="12" spans="1:11" ht="15" customHeight="1" x14ac:dyDescent="0.5">
      <c r="B12" t="s">
        <v>62</v>
      </c>
      <c r="C12" s="7">
        <f>IF(C$4=Assumptions!$F$52,IF(Assumptions!$B$21=1,Assumptions!$C$52,C11/Assumptions!$B$20)*(1-Assumptions!$B$29),0)</f>
        <v>0</v>
      </c>
      <c r="D12" s="7">
        <f>IF(D$4=Assumptions!$F$52,IF(Assumptions!$B$21=1,Assumptions!$C$52,D11/Assumptions!$B$20)*(1-Assumptions!$B$29),0)</f>
        <v>0</v>
      </c>
      <c r="E12" s="7">
        <f>IF(E$4=Assumptions!$F$52,IF(Assumptions!$B$21=1,Assumptions!$C$52,E11/Assumptions!$B$20)*(1-Assumptions!$B$29),0)</f>
        <v>0</v>
      </c>
      <c r="F12" s="7">
        <f>IF(F$4=Assumptions!$F$52,IF(Assumptions!$B$21=1,Assumptions!$C$52,F11/Assumptions!$B$20)*(1-Assumptions!$B$29),0)</f>
        <v>0</v>
      </c>
      <c r="G12" s="7">
        <f>IF(G$4=Assumptions!$F$52,IF(Assumptions!$B$21=1,Assumptions!$C$52,G11/Assumptions!$B$20)*(1-Assumptions!$B$29),0)</f>
        <v>0</v>
      </c>
      <c r="H12" s="7">
        <f>IF(H$4=Assumptions!$F$52,IF(Assumptions!$B$21=1,Assumptions!$C$52,H11/Assumptions!$B$20)*(1-Assumptions!$B$29),0)</f>
        <v>0</v>
      </c>
      <c r="I12" s="7">
        <f>IF(I$4=Assumptions!$F$52,IF(Assumptions!$B$21=1,Assumptions!$C$52,I11/Assumptions!$B$20)*(1-Assumptions!$B$29),0)</f>
        <v>0</v>
      </c>
      <c r="J12" s="7">
        <f>IF(J$4=Assumptions!$F$52,IF(Assumptions!$B$21=1,Assumptions!$C$52,J11/Assumptions!$B$20)*(1-Assumptions!$B$29),0)</f>
        <v>12936038.202557663</v>
      </c>
      <c r="K12" s="7">
        <f>IF(K$4=Assumptions!$F$52,IF(Assumptions!$B$21=1,Assumptions!$C$52,K11/Assumptions!$B$20)*(1-Assumptions!$B$29),0)</f>
        <v>0</v>
      </c>
    </row>
    <row r="14" spans="1:11" ht="15" customHeight="1" x14ac:dyDescent="0.5">
      <c r="A14" s="3" t="s">
        <v>66</v>
      </c>
    </row>
    <row r="15" spans="1:11" ht="15" customHeight="1" x14ac:dyDescent="0.5">
      <c r="B15" t="s">
        <v>62</v>
      </c>
      <c r="C15" s="7">
        <f>IF(C$4=Assumptions!$F$53,Assumptions!$I$53*Assumptions!$B$17*(1-Assumptions!$B$29),0)</f>
        <v>0</v>
      </c>
      <c r="D15" s="7">
        <f>IF(D$4=Assumptions!$F$53,Assumptions!$I$53*Assumptions!$B$17*(1-Assumptions!$B$29),0)</f>
        <v>0</v>
      </c>
      <c r="E15" s="7">
        <f>IF(E$4=Assumptions!$F$53,Assumptions!$I$53*Assumptions!$B$17*(1-Assumptions!$B$29),0)</f>
        <v>0</v>
      </c>
      <c r="F15" s="7">
        <f>IF(F$4=Assumptions!$F$53,Assumptions!$I$53*Assumptions!$B$17*(1-Assumptions!$B$29),0)</f>
        <v>0</v>
      </c>
      <c r="G15" s="7">
        <f>IF(G$4=Assumptions!$F$53,Assumptions!$I$53*Assumptions!$B$17*(1-Assumptions!$B$29),0)</f>
        <v>0</v>
      </c>
      <c r="H15" s="7">
        <f>IF(H$4=Assumptions!$F$53,Assumptions!$I$53*Assumptions!$B$17*(1-Assumptions!$B$29),0)</f>
        <v>38210900</v>
      </c>
      <c r="I15" s="7">
        <f>IF(I$4=Assumptions!$F$53,Assumptions!$I$53*Assumptions!$B$17*(1-Assumptions!$B$29),0)</f>
        <v>0</v>
      </c>
      <c r="J15" s="7">
        <f>IF(J$4=Assumptions!$F$53,Assumptions!$I$53*Assumptions!$B$17*(1-Assumptions!$B$29),0)</f>
        <v>0</v>
      </c>
      <c r="K15" s="7">
        <f>IF(K$4=Assumptions!$F$53,Assumptions!$I$53*Assumptions!$B$17*(1-Assumptions!$B$29),0)</f>
        <v>0</v>
      </c>
    </row>
    <row r="17" spans="1:11" ht="15" customHeight="1" x14ac:dyDescent="0.5">
      <c r="A17" s="3" t="s">
        <v>67</v>
      </c>
    </row>
    <row r="18" spans="1:11" ht="15" customHeight="1" x14ac:dyDescent="0.5">
      <c r="B18" t="s">
        <v>68</v>
      </c>
      <c r="C18" s="7">
        <f>IF(AND(C$4&gt;=Assumptions!$D$54,C$4&lt;=Assumptions!$F$54),Assumptions!$B$43*Assumptions!$B$44*12*INDEX(Assumptions!$B$46:$F$46,MIN(5,C$4-Assumptions!$D$54+1)),0)</f>
        <v>0</v>
      </c>
      <c r="D18" s="7">
        <f>IF(AND(D$4&gt;=Assumptions!$D$54,D$4&lt;=Assumptions!$F$54),Assumptions!$B$43*Assumptions!$B$44*12*INDEX(Assumptions!$B$46:$F$46,MIN(5,D$4-Assumptions!$D$54+1)),0)</f>
        <v>0</v>
      </c>
      <c r="E18" s="7">
        <f>IF(AND(E$4&gt;=Assumptions!$D$54,E$4&lt;=Assumptions!$F$54),Assumptions!$B$43*Assumptions!$B$44*12*INDEX(Assumptions!$B$46:$F$46,MIN(5,E$4-Assumptions!$D$54+1)),0)</f>
        <v>237600</v>
      </c>
      <c r="F18" s="7">
        <f>IF(AND(F$4&gt;=Assumptions!$D$54,F$4&lt;=Assumptions!$F$54),Assumptions!$B$43*Assumptions!$B$44*12*INDEX(Assumptions!$B$46:$F$46,MIN(5,F$4-Assumptions!$D$54+1)),0)</f>
        <v>386100</v>
      </c>
      <c r="G18" s="7">
        <f>IF(AND(G$4&gt;=Assumptions!$D$54,G$4&lt;=Assumptions!$F$54),Assumptions!$B$43*Assumptions!$B$44*12*INDEX(Assumptions!$B$46:$F$46,MIN(5,G$4-Assumptions!$D$54+1)),0)</f>
        <v>475200</v>
      </c>
      <c r="H18" s="7">
        <f>IF(AND(H$4&gt;=Assumptions!$D$54,H$4&lt;=Assumptions!$F$54),Assumptions!$B$43*Assumptions!$B$44*12*INDEX(Assumptions!$B$46:$F$46,MIN(5,H$4-Assumptions!$D$54+1)),0)</f>
        <v>475200</v>
      </c>
      <c r="I18" s="7">
        <f>IF(AND(I$4&gt;=Assumptions!$D$54,I$4&lt;=Assumptions!$F$54),Assumptions!$B$43*Assumptions!$B$44*12*INDEX(Assumptions!$B$46:$F$46,MIN(5,I$4-Assumptions!$D$54+1)),0)</f>
        <v>475200</v>
      </c>
      <c r="J18" s="7">
        <f>IF(AND(J$4&gt;=Assumptions!$D$54,J$4&lt;=Assumptions!$F$54),Assumptions!$B$43*Assumptions!$B$44*12*INDEX(Assumptions!$B$46:$F$46,MIN(5,J$4-Assumptions!$D$54+1)),0)</f>
        <v>0</v>
      </c>
      <c r="K18" s="7">
        <f>IF(AND(K$4&gt;=Assumptions!$D$54,K$4&lt;=Assumptions!$F$54),Assumptions!$B$43*Assumptions!$B$44*12*INDEX(Assumptions!$B$46:$F$46,MIN(5,K$4-Assumptions!$D$54+1)),0)</f>
        <v>0</v>
      </c>
    </row>
    <row r="19" spans="1:11" ht="15" customHeight="1" x14ac:dyDescent="0.5">
      <c r="B19" t="s">
        <v>65</v>
      </c>
      <c r="C19" s="7">
        <f>C18*Assumptions!$B$45</f>
        <v>0</v>
      </c>
      <c r="D19" s="7">
        <f>D18*Assumptions!$B$45</f>
        <v>0</v>
      </c>
      <c r="E19" s="7">
        <f>E18*Assumptions!$B$45</f>
        <v>154440</v>
      </c>
      <c r="F19" s="7">
        <f>F18*Assumptions!$B$45</f>
        <v>250965</v>
      </c>
      <c r="G19" s="7">
        <f>G18*Assumptions!$B$45</f>
        <v>308880</v>
      </c>
      <c r="H19" s="7">
        <f>H18*Assumptions!$B$45</f>
        <v>308880</v>
      </c>
      <c r="I19" s="7">
        <f>I18*Assumptions!$B$45</f>
        <v>308880</v>
      </c>
      <c r="J19" s="7">
        <f>J18*Assumptions!$B$45</f>
        <v>0</v>
      </c>
      <c r="K19" s="7">
        <f>K18*Assumptions!$B$45</f>
        <v>0</v>
      </c>
    </row>
    <row r="20" spans="1:11" ht="15" customHeight="1" x14ac:dyDescent="0.5">
      <c r="B20" t="s">
        <v>62</v>
      </c>
      <c r="C20" s="7">
        <f>IF(C$4=Assumptions!$F$54,Assumptions!$B$43*Assumptions!$B$22*(1-Assumptions!$B$29),0)</f>
        <v>0</v>
      </c>
      <c r="D20" s="7">
        <f>IF(D$4=Assumptions!$F$54,Assumptions!$B$43*Assumptions!$B$22*(1-Assumptions!$B$29),0)</f>
        <v>0</v>
      </c>
      <c r="E20" s="7">
        <f>IF(E$4=Assumptions!$F$54,Assumptions!$B$43*Assumptions!$B$22*(1-Assumptions!$B$29),0)</f>
        <v>0</v>
      </c>
      <c r="F20" s="7">
        <f>IF(F$4=Assumptions!$F$54,Assumptions!$B$43*Assumptions!$B$22*(1-Assumptions!$B$29),0)</f>
        <v>0</v>
      </c>
      <c r="G20" s="7">
        <f>IF(G$4=Assumptions!$F$54,Assumptions!$B$43*Assumptions!$B$22*(1-Assumptions!$B$29),0)</f>
        <v>0</v>
      </c>
      <c r="H20" s="7">
        <f>IF(H$4=Assumptions!$F$54,Assumptions!$B$43*Assumptions!$B$22*(1-Assumptions!$B$29),0)</f>
        <v>0</v>
      </c>
      <c r="I20" s="7">
        <f>IF(I$4=Assumptions!$F$54,Assumptions!$B$43*Assumptions!$B$22*(1-Assumptions!$B$29),0)</f>
        <v>8621250</v>
      </c>
      <c r="J20" s="7">
        <f>IF(J$4=Assumptions!$F$54,Assumptions!$B$43*Assumptions!$B$22*(1-Assumptions!$B$29),0)</f>
        <v>0</v>
      </c>
      <c r="K20" s="7">
        <f>IF(K$4=Assumptions!$F$54,Assumptions!$B$43*Assumptions!$B$22*(1-Assumptions!$B$29),0)</f>
        <v>0</v>
      </c>
    </row>
    <row r="22" spans="1:11" ht="15" customHeight="1" x14ac:dyDescent="0.5">
      <c r="A22" s="3" t="s">
        <v>69</v>
      </c>
    </row>
    <row r="23" spans="1:11" ht="15" customHeight="1" x14ac:dyDescent="0.5">
      <c r="B23" t="s">
        <v>62</v>
      </c>
      <c r="C23" s="7">
        <f>IF(C$4=Assumptions!$F$55,Assumptions!$I$55*Assumptions!$B$17*(1-Assumptions!$B$29),0)</f>
        <v>0</v>
      </c>
      <c r="D23" s="7">
        <f>IF(D$4=Assumptions!$F$55,Assumptions!$I$55*Assumptions!$B$17*(1-Assumptions!$B$29),0)</f>
        <v>0</v>
      </c>
      <c r="E23" s="7">
        <f>IF(E$4=Assumptions!$F$55,Assumptions!$I$55*Assumptions!$B$17*(1-Assumptions!$B$29),0)</f>
        <v>0</v>
      </c>
      <c r="F23" s="7">
        <f>IF(F$4=Assumptions!$F$55,Assumptions!$I$55*Assumptions!$B$17*(1-Assumptions!$B$29),0)</f>
        <v>0</v>
      </c>
      <c r="G23" s="7">
        <f>IF(G$4=Assumptions!$F$55,Assumptions!$I$55*Assumptions!$B$17*(1-Assumptions!$B$29),0)</f>
        <v>0</v>
      </c>
      <c r="H23" s="7">
        <f>IF(H$4=Assumptions!$F$55,Assumptions!$I$55*Assumptions!$B$17*(1-Assumptions!$B$29),0)</f>
        <v>0</v>
      </c>
      <c r="I23" s="7">
        <f>IF(I$4=Assumptions!$F$55,Assumptions!$I$55*Assumptions!$B$17*(1-Assumptions!$B$29),0)</f>
        <v>15284360</v>
      </c>
      <c r="J23" s="7">
        <f>IF(J$4=Assumptions!$F$55,Assumptions!$I$55*Assumptions!$B$17*(1-Assumptions!$B$29),0)</f>
        <v>0</v>
      </c>
      <c r="K23" s="7">
        <f>IF(K$4=Assumptions!$F$55,Assumptions!$I$55*Assumptions!$B$17*(1-Assumptions!$B$29),0)</f>
        <v>0</v>
      </c>
    </row>
    <row r="26" spans="1:11" ht="15" customHeight="1" x14ac:dyDescent="0.5">
      <c r="A26" s="3" t="s">
        <v>70</v>
      </c>
    </row>
    <row r="27" spans="1:11" ht="15" customHeight="1" x14ac:dyDescent="0.5">
      <c r="B27" t="s">
        <v>71</v>
      </c>
      <c r="C27" s="7">
        <f>-SUMIF(Assumptions!$D$51:$D$55,C$4,Assumptions!$C$51:$C$55)</f>
        <v>-12375000</v>
      </c>
      <c r="D27" s="7">
        <f>-SUMIF(Assumptions!$D$51:$D$55,D$4,Assumptions!$C$51:$C$55)</f>
        <v>-12375000</v>
      </c>
      <c r="E27" s="7">
        <f>-SUMIF(Assumptions!$D$51:$D$55,E$4,Assumptions!$C$51:$C$55)</f>
        <v>-2750000</v>
      </c>
      <c r="F27" s="7">
        <f>-SUMIF(Assumptions!$D$51:$D$55,F$4,Assumptions!$C$51:$C$55)</f>
        <v>0</v>
      </c>
      <c r="G27" s="7">
        <f>-SUMIF(Assumptions!$D$51:$D$55,G$4,Assumptions!$C$51:$C$55)</f>
        <v>0</v>
      </c>
      <c r="H27" s="7">
        <f>-SUMIF(Assumptions!$D$51:$D$55,H$4,Assumptions!$C$51:$C$55)</f>
        <v>0</v>
      </c>
      <c r="I27" s="7">
        <f>-SUMIF(Assumptions!$D$51:$D$55,I$4,Assumptions!$C$51:$C$55)</f>
        <v>0</v>
      </c>
      <c r="J27" s="7">
        <f>-SUMIF(Assumptions!$D$51:$D$55,J$4,Assumptions!$C$51:$C$55)</f>
        <v>0</v>
      </c>
      <c r="K27" s="7">
        <f>-SUMIF(Assumptions!$D$51:$D$55,K$4,Assumptions!$C$51:$C$55)</f>
        <v>0</v>
      </c>
    </row>
    <row r="28" spans="1:11" ht="15" customHeight="1" x14ac:dyDescent="0.5">
      <c r="B28" t="s">
        <v>72</v>
      </c>
      <c r="C28" s="7">
        <f t="shared" ref="C28:K28" si="0">C11+C19</f>
        <v>0</v>
      </c>
      <c r="D28" s="7">
        <f t="shared" si="0"/>
        <v>0</v>
      </c>
      <c r="E28" s="7">
        <f t="shared" si="0"/>
        <v>154440</v>
      </c>
      <c r="F28" s="7">
        <f t="shared" si="0"/>
        <v>250965</v>
      </c>
      <c r="G28" s="7">
        <f t="shared" si="0"/>
        <v>853555.29273927014</v>
      </c>
      <c r="H28" s="7">
        <f t="shared" si="0"/>
        <v>1220282.6915438354</v>
      </c>
      <c r="I28" s="7">
        <f t="shared" si="0"/>
        <v>1670568.2318481752</v>
      </c>
      <c r="J28" s="7">
        <f t="shared" si="0"/>
        <v>1361688.2318481752</v>
      </c>
      <c r="K28" s="7">
        <f t="shared" si="0"/>
        <v>0</v>
      </c>
    </row>
    <row r="29" spans="1:11" ht="15" customHeight="1" x14ac:dyDescent="0.5">
      <c r="B29" t="s">
        <v>73</v>
      </c>
      <c r="C29" s="7">
        <f t="shared" ref="C29:K29" si="1">C7+C12+C15+C20+C23</f>
        <v>0</v>
      </c>
      <c r="D29" s="7">
        <f t="shared" si="1"/>
        <v>0</v>
      </c>
      <c r="E29" s="7">
        <f t="shared" si="1"/>
        <v>0</v>
      </c>
      <c r="F29" s="7">
        <f t="shared" si="1"/>
        <v>0</v>
      </c>
      <c r="G29" s="7">
        <f t="shared" si="1"/>
        <v>38210900</v>
      </c>
      <c r="H29" s="7">
        <f t="shared" si="1"/>
        <v>38210900</v>
      </c>
      <c r="I29" s="7">
        <f t="shared" si="1"/>
        <v>23905610</v>
      </c>
      <c r="J29" s="7">
        <f t="shared" si="1"/>
        <v>12936038.202557663</v>
      </c>
      <c r="K29" s="7">
        <f t="shared" si="1"/>
        <v>0</v>
      </c>
    </row>
    <row r="30" spans="1:11" ht="15" customHeight="1" x14ac:dyDescent="0.5">
      <c r="B30" t="s">
        <v>74</v>
      </c>
      <c r="C30" s="9">
        <f t="shared" ref="C30:K30" si="2">C27+C28+C29</f>
        <v>-12375000</v>
      </c>
      <c r="D30" s="9">
        <f t="shared" si="2"/>
        <v>-12375000</v>
      </c>
      <c r="E30" s="9">
        <f t="shared" si="2"/>
        <v>-2595560</v>
      </c>
      <c r="F30" s="9">
        <f t="shared" si="2"/>
        <v>250965</v>
      </c>
      <c r="G30" s="9">
        <f t="shared" si="2"/>
        <v>39064455.292739272</v>
      </c>
      <c r="H30" s="9">
        <f t="shared" si="2"/>
        <v>39431182.691543832</v>
      </c>
      <c r="I30" s="9">
        <f t="shared" si="2"/>
        <v>25576178.231848177</v>
      </c>
      <c r="J30" s="9">
        <f t="shared" si="2"/>
        <v>14297726.434405837</v>
      </c>
      <c r="K30" s="9">
        <f t="shared" si="2"/>
        <v>0</v>
      </c>
    </row>
    <row r="31" spans="1:11" ht="15" customHeight="1" x14ac:dyDescent="0.5">
      <c r="B31" t="s">
        <v>75</v>
      </c>
      <c r="C31" s="7">
        <f>SUMIF(Assumptions!$D$51:$D$55,C$4,Assumptions!$C$51:$C$55)*Assumptions!$B$33</f>
        <v>247500</v>
      </c>
      <c r="D31" s="7">
        <f>SUMIF(Assumptions!$D$51:$D$55,D$4,Assumptions!$C$51:$C$55)*Assumptions!$B$33</f>
        <v>247500</v>
      </c>
      <c r="E31" s="7">
        <f>SUMIF(Assumptions!$D$51:$D$55,E$4,Assumptions!$C$51:$C$55)*Assumptions!$B$33</f>
        <v>55000</v>
      </c>
      <c r="F31" s="7">
        <f>SUMIF(Assumptions!$D$51:$D$55,F$4,Assumptions!$C$51:$C$55)*Assumptions!$B$33</f>
        <v>0</v>
      </c>
      <c r="G31" s="7">
        <f>SUMIF(Assumptions!$D$51:$D$55,G$4,Assumptions!$C$51:$C$55)*Assumptions!$B$33</f>
        <v>0</v>
      </c>
      <c r="H31" s="7">
        <f>SUMIF(Assumptions!$D$51:$D$55,H$4,Assumptions!$C$51:$C$55)*Assumptions!$B$33</f>
        <v>0</v>
      </c>
      <c r="I31" s="7">
        <f>SUMIF(Assumptions!$D$51:$D$55,I$4,Assumptions!$C$51:$C$55)*Assumptions!$B$33</f>
        <v>0</v>
      </c>
      <c r="J31" s="7">
        <f>SUMIF(Assumptions!$D$51:$D$55,J$4,Assumptions!$C$51:$C$55)*Assumptions!$B$33</f>
        <v>0</v>
      </c>
      <c r="K31" s="7">
        <f>SUMIF(Assumptions!$D$51:$D$55,K$4,Assumptions!$C$51:$C$55)*Assumptions!$B$33</f>
        <v>0</v>
      </c>
    </row>
    <row r="32" spans="1:11" ht="15" customHeight="1" x14ac:dyDescent="0.5">
      <c r="B32" t="s">
        <v>76</v>
      </c>
      <c r="C32" s="7">
        <f>SUMPRODUCT((Assumptions!$D$51:$D$55+1&lt;=C$4)*(Assumptions!$F$51:$F$55&gt;=C$4)*Assumptions!$C$51:$C$55)*Assumptions!$B$34</f>
        <v>0</v>
      </c>
      <c r="D32" s="7">
        <f>SUMPRODUCT((Assumptions!$D$51:$D$55+1&lt;=D$4)*(Assumptions!$F$51:$F$55&gt;=D$4)*Assumptions!$C$51:$C$55)*Assumptions!$B$34</f>
        <v>247500</v>
      </c>
      <c r="E32" s="7">
        <f>SUMPRODUCT((Assumptions!$D$51:$D$55+1&lt;=E$4)*(Assumptions!$F$51:$F$55&gt;=E$4)*Assumptions!$C$51:$C$55)*Assumptions!$B$34</f>
        <v>495000</v>
      </c>
      <c r="F32" s="7">
        <f>SUMPRODUCT((Assumptions!$D$51:$D$55+1&lt;=F$4)*(Assumptions!$F$51:$F$55&gt;=F$4)*Assumptions!$C$51:$C$55)*Assumptions!$B$34</f>
        <v>550000</v>
      </c>
      <c r="G32" s="7">
        <f>SUMPRODUCT((Assumptions!$D$51:$D$55+1&lt;=G$4)*(Assumptions!$F$51:$F$55&gt;=G$4)*Assumptions!$C$51:$C$55)*Assumptions!$B$34</f>
        <v>550000</v>
      </c>
      <c r="H32" s="7">
        <f>SUMPRODUCT((Assumptions!$D$51:$D$55+1&lt;=H$4)*(Assumptions!$F$51:$F$55&gt;=H$4)*Assumptions!$C$51:$C$55)*Assumptions!$B$34</f>
        <v>412500</v>
      </c>
      <c r="I32" s="7">
        <f>SUMPRODUCT((Assumptions!$D$51:$D$55+1&lt;=I$4)*(Assumptions!$F$51:$F$55&gt;=I$4)*Assumptions!$C$51:$C$55)*Assumptions!$B$34</f>
        <v>275000</v>
      </c>
      <c r="J32" s="7">
        <f>SUMPRODUCT((Assumptions!$D$51:$D$55+1&lt;=J$4)*(Assumptions!$F$51:$F$55&gt;=J$4)*Assumptions!$C$51:$C$55)*Assumptions!$B$34</f>
        <v>110000</v>
      </c>
      <c r="K32" s="7">
        <f>SUMPRODUCT((Assumptions!$D$51:$D$55+1&lt;=K$4)*(Assumptions!$F$51:$F$55&gt;=K$4)*Assumptions!$C$51:$C$55)*Assumptions!$B$34</f>
        <v>0</v>
      </c>
    </row>
    <row r="33" spans="2:11" ht="15" customHeight="1" x14ac:dyDescent="0.5">
      <c r="B33" t="s">
        <v>77</v>
      </c>
      <c r="C33" s="7">
        <f>C10*Assumptions!$B$35</f>
        <v>0</v>
      </c>
      <c r="D33" s="7">
        <f>D10*Assumptions!$B$35</f>
        <v>0</v>
      </c>
      <c r="E33" s="7">
        <f>E10*Assumptions!$B$35</f>
        <v>0</v>
      </c>
      <c r="F33" s="7">
        <f>F10*Assumptions!$B$35</f>
        <v>0</v>
      </c>
      <c r="G33" s="7">
        <f>G10*Assumptions!$B$35</f>
        <v>46686.45366336601</v>
      </c>
      <c r="H33" s="7">
        <f>H10*Assumptions!$B$35</f>
        <v>78120.230703757319</v>
      </c>
      <c r="I33" s="7">
        <f>I10*Assumptions!$B$35</f>
        <v>116716.13415841501</v>
      </c>
      <c r="J33" s="7">
        <f>J10*Assumptions!$B$35</f>
        <v>116716.13415841501</v>
      </c>
      <c r="K33" s="7">
        <f>K10*Assumptions!$B$35</f>
        <v>0</v>
      </c>
    </row>
    <row r="34" spans="2:11" ht="15" customHeight="1" x14ac:dyDescent="0.5">
      <c r="B34" t="s">
        <v>78</v>
      </c>
      <c r="C34" s="7">
        <f>IF(C$4=0,Assumptions!$B$38,0)+IF(AND(C$4&gt;=1,C$4&lt;=7),Assumptions!$B$39,0)</f>
        <v>0</v>
      </c>
      <c r="D34" s="7">
        <f>IF(D$4=0,Assumptions!$B$38,0)+IF(AND(D$4&gt;=1,D$4&lt;=7),Assumptions!$B$39,0)</f>
        <v>150000</v>
      </c>
      <c r="E34" s="7">
        <f>IF(E$4=0,Assumptions!$B$38,0)+IF(AND(E$4&gt;=1,E$4&lt;=7),Assumptions!$B$39,0)</f>
        <v>150000</v>
      </c>
      <c r="F34" s="7">
        <f>IF(F$4=0,Assumptions!$B$38,0)+IF(AND(F$4&gt;=1,F$4&lt;=7),Assumptions!$B$39,0)</f>
        <v>150000</v>
      </c>
      <c r="G34" s="7">
        <f>IF(G$4=0,Assumptions!$B$38,0)+IF(AND(G$4&gt;=1,G$4&lt;=7),Assumptions!$B$39,0)</f>
        <v>150000</v>
      </c>
      <c r="H34" s="7">
        <f>IF(H$4=0,Assumptions!$B$38,0)+IF(AND(H$4&gt;=1,H$4&lt;=7),Assumptions!$B$39,0)</f>
        <v>150000</v>
      </c>
      <c r="I34" s="7">
        <f>IF(I$4=0,Assumptions!$B$38,0)+IF(AND(I$4&gt;=1,I$4&lt;=7),Assumptions!$B$39,0)</f>
        <v>150000</v>
      </c>
      <c r="J34" s="7">
        <f>IF(J$4=0,Assumptions!$B$38,0)+IF(AND(J$4&gt;=1,J$4&lt;=7),Assumptions!$B$39,0)</f>
        <v>150000</v>
      </c>
      <c r="K34" s="7">
        <f>IF(K$4=0,Assumptions!$B$38,0)+IF(AND(K$4&gt;=1,K$4&lt;=7),Assumptions!$B$39,0)</f>
        <v>0</v>
      </c>
    </row>
    <row r="35" spans="2:11" ht="15" customHeight="1" x14ac:dyDescent="0.5">
      <c r="B35" t="s">
        <v>79</v>
      </c>
      <c r="C35" s="7">
        <f>SUMIF('Waterfall &amp; Returns'!$H$6:$H$10,C$4,'Waterfall &amp; Returns'!$G$6:$G$10)</f>
        <v>0</v>
      </c>
      <c r="D35" s="7">
        <f>SUMIF('Waterfall &amp; Returns'!$H$6:$H$10,D$4,'Waterfall &amp; Returns'!$G$6:$G$10)</f>
        <v>0</v>
      </c>
      <c r="E35" s="7">
        <f>SUMIF('Waterfall &amp; Returns'!$H$6:$H$10,E$4,'Waterfall &amp; Returns'!$G$6:$G$10)</f>
        <v>0</v>
      </c>
      <c r="F35" s="7">
        <f>SUMIF('Waterfall &amp; Returns'!$H$6:$H$10,F$4,'Waterfall &amp; Returns'!$G$6:$G$10)</f>
        <v>0</v>
      </c>
      <c r="G35" s="7">
        <f>SUMIF('Waterfall &amp; Returns'!$H$6:$H$10,G$4,'Waterfall &amp; Returns'!$G$6:$G$10)</f>
        <v>6129680</v>
      </c>
      <c r="H35" s="7">
        <f>SUMIF('Waterfall &amp; Returns'!$H$6:$H$10,H$4,'Waterfall &amp; Returns'!$G$6:$G$10)</f>
        <v>6129680</v>
      </c>
      <c r="I35" s="7">
        <f>SUMIF('Waterfall &amp; Returns'!$H$6:$H$10,I$4,'Waterfall &amp; Returns'!$G$6:$G$10)</f>
        <v>3210531</v>
      </c>
      <c r="J35" s="7">
        <f>SUMIF('Waterfall &amp; Returns'!$H$6:$H$10,J$4,'Waterfall &amp; Returns'!$G$6:$G$10)</f>
        <v>2075450.739570633</v>
      </c>
      <c r="K35" s="7">
        <f>SUMIF('Waterfall &amp; Returns'!$H$6:$H$10,K$4,'Waterfall &amp; Returns'!$G$6:$G$10)</f>
        <v>0</v>
      </c>
    </row>
    <row r="36" spans="2:11" ht="15" customHeight="1" x14ac:dyDescent="0.5">
      <c r="B36" t="s">
        <v>80</v>
      </c>
      <c r="C36" s="9">
        <f t="shared" ref="C36:K36" si="3">C30-C31-C32-C33-C34-C35</f>
        <v>-12622500</v>
      </c>
      <c r="D36" s="9">
        <f t="shared" si="3"/>
        <v>-13020000</v>
      </c>
      <c r="E36" s="9">
        <f t="shared" si="3"/>
        <v>-3295560</v>
      </c>
      <c r="F36" s="9">
        <f t="shared" si="3"/>
        <v>-449035</v>
      </c>
      <c r="G36" s="9">
        <f t="shared" si="3"/>
        <v>32188088.839075908</v>
      </c>
      <c r="H36" s="9">
        <f t="shared" si="3"/>
        <v>32660882.460840076</v>
      </c>
      <c r="I36" s="9">
        <f t="shared" si="3"/>
        <v>21823931.097689763</v>
      </c>
      <c r="J36" s="9">
        <f t="shared" si="3"/>
        <v>11845559.560676789</v>
      </c>
      <c r="K36" s="9">
        <f t="shared" si="3"/>
        <v>0</v>
      </c>
    </row>
    <row r="37" spans="2:11" ht="15" customHeight="1" x14ac:dyDescent="0.5">
      <c r="B37" t="s">
        <v>81</v>
      </c>
      <c r="C37" s="7">
        <f t="shared" ref="C37:K37" si="4">IF(C$4&lt;=3,MAX(0,C36),0)</f>
        <v>0</v>
      </c>
      <c r="D37" s="7">
        <f t="shared" si="4"/>
        <v>0</v>
      </c>
      <c r="E37" s="7">
        <f t="shared" si="4"/>
        <v>0</v>
      </c>
      <c r="F37" s="7">
        <f t="shared" si="4"/>
        <v>0</v>
      </c>
      <c r="G37" s="7">
        <f t="shared" si="4"/>
        <v>0</v>
      </c>
      <c r="H37" s="7">
        <f t="shared" si="4"/>
        <v>0</v>
      </c>
      <c r="I37" s="7">
        <f t="shared" si="4"/>
        <v>0</v>
      </c>
      <c r="J37" s="7">
        <f t="shared" si="4"/>
        <v>0</v>
      </c>
      <c r="K37" s="7">
        <f t="shared" si="4"/>
        <v>0</v>
      </c>
    </row>
    <row r="38" spans="2:11" ht="15" customHeight="1" x14ac:dyDescent="0.5">
      <c r="B38" t="s">
        <v>82</v>
      </c>
      <c r="C38" s="9">
        <f t="shared" ref="C38:K38" si="5">IF(C$4&lt;=3,MIN(0,C36),IF(C$4=4,C36+SUM($C$37:$F$37),C36))</f>
        <v>-12622500</v>
      </c>
      <c r="D38" s="9">
        <f t="shared" si="5"/>
        <v>-13020000</v>
      </c>
      <c r="E38" s="9">
        <f t="shared" si="5"/>
        <v>-3295560</v>
      </c>
      <c r="F38" s="9">
        <f t="shared" si="5"/>
        <v>-449035</v>
      </c>
      <c r="G38" s="9">
        <f t="shared" si="5"/>
        <v>32188088.839075908</v>
      </c>
      <c r="H38" s="9">
        <f t="shared" si="5"/>
        <v>32660882.460840076</v>
      </c>
      <c r="I38" s="9">
        <f t="shared" si="5"/>
        <v>21823931.097689763</v>
      </c>
      <c r="J38" s="9">
        <f t="shared" si="5"/>
        <v>11845559.560676789</v>
      </c>
      <c r="K38" s="9">
        <f t="shared" si="5"/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zoomScaleNormal="100" workbookViewId="0"/>
  </sheetViews>
  <sheetFormatPr defaultColWidth="8.625" defaultRowHeight="15.75" x14ac:dyDescent="0.5"/>
  <cols>
    <col min="1" max="1" width="28" customWidth="1"/>
    <col min="2" max="9" width="15" customWidth="1"/>
  </cols>
  <sheetData>
    <row r="1" spans="1:9" ht="15.75" customHeight="1" x14ac:dyDescent="0.5">
      <c r="A1" s="1" t="s">
        <v>83</v>
      </c>
    </row>
    <row r="3" spans="1:9" ht="57" customHeight="1" x14ac:dyDescent="0.5">
      <c r="A3" s="2" t="s">
        <v>84</v>
      </c>
    </row>
    <row r="5" spans="1:9" ht="15" customHeight="1" x14ac:dyDescent="0.5">
      <c r="A5" s="3" t="s">
        <v>41</v>
      </c>
      <c r="B5" s="3" t="s">
        <v>85</v>
      </c>
      <c r="C5" s="3" t="s">
        <v>86</v>
      </c>
      <c r="D5" s="3" t="s">
        <v>87</v>
      </c>
      <c r="E5" s="3" t="s">
        <v>88</v>
      </c>
      <c r="F5" s="3" t="s">
        <v>89</v>
      </c>
      <c r="G5" s="3" t="s">
        <v>90</v>
      </c>
      <c r="H5" s="3" t="s">
        <v>46</v>
      </c>
      <c r="I5" s="3" t="s">
        <v>91</v>
      </c>
    </row>
    <row r="6" spans="1:9" ht="15" customHeight="1" x14ac:dyDescent="0.5">
      <c r="A6" t="s">
        <v>50</v>
      </c>
      <c r="B6" s="7">
        <f>Assumptions!C51</f>
        <v>6875000</v>
      </c>
      <c r="C6" s="10">
        <f>Assumptions!E51</f>
        <v>4</v>
      </c>
      <c r="D6" s="7">
        <f>SUM('Pro Forma'!C7:K7)</f>
        <v>38210900</v>
      </c>
      <c r="E6" s="7">
        <f>B6*Assumptions!$B$33+B6*Assumptions!$B$34*C6</f>
        <v>687500</v>
      </c>
      <c r="F6" s="7">
        <f>D6-E6-B6</f>
        <v>30648400</v>
      </c>
      <c r="G6" s="7">
        <f>IF(F6&lt;=0,0,MIN(Assumptions!$B$37*F6,MAX(0,F6-I6)))</f>
        <v>6129680</v>
      </c>
      <c r="H6" s="10">
        <f>Assumptions!F51</f>
        <v>4</v>
      </c>
      <c r="I6" s="7">
        <f>B6*Assumptions!$B$36*C6</f>
        <v>2200000</v>
      </c>
    </row>
    <row r="7" spans="1:9" ht="15" customHeight="1" x14ac:dyDescent="0.5">
      <c r="A7" t="s">
        <v>52</v>
      </c>
      <c r="B7" s="7">
        <f>Assumptions!C52</f>
        <v>5500000</v>
      </c>
      <c r="C7" s="10">
        <f>Assumptions!E52</f>
        <v>7</v>
      </c>
      <c r="D7" s="7">
        <f>SUM('Pro Forma'!C11:K11)+SUM('Pro Forma'!C12:K12)</f>
        <v>17115492.650537118</v>
      </c>
      <c r="E7" s="7">
        <f>B7*Assumptions!$B$33+B7*Assumptions!$B$34*C7+SUM('Pro Forma'!C10:K10)*Assumptions!$B$35</f>
        <v>1238238.9526839533</v>
      </c>
      <c r="F7" s="7">
        <f>D7-E7-B7</f>
        <v>10377253.697853165</v>
      </c>
      <c r="G7" s="7">
        <f>IF(F7&lt;=0,0,MIN(Assumptions!$B$37*F7,MAX(0,F7-I7)))</f>
        <v>2075450.739570633</v>
      </c>
      <c r="H7" s="10">
        <f>Assumptions!F52</f>
        <v>7</v>
      </c>
      <c r="I7" s="7">
        <f>B7*Assumptions!$B$36*C7</f>
        <v>3080000</v>
      </c>
    </row>
    <row r="8" spans="1:9" ht="15" customHeight="1" x14ac:dyDescent="0.5">
      <c r="A8" t="s">
        <v>54</v>
      </c>
      <c r="B8" s="7">
        <f>Assumptions!C53</f>
        <v>6875000</v>
      </c>
      <c r="C8" s="10">
        <f>Assumptions!E53</f>
        <v>4</v>
      </c>
      <c r="D8" s="7">
        <f>SUM('Pro Forma'!C15:K15)</f>
        <v>38210900</v>
      </c>
      <c r="E8" s="7">
        <f>B8*Assumptions!$B$33+B8*Assumptions!$B$34*C8</f>
        <v>687500</v>
      </c>
      <c r="F8" s="7">
        <f>D8-E8-B8</f>
        <v>30648400</v>
      </c>
      <c r="G8" s="7">
        <f>IF(F8&lt;=0,0,MIN(Assumptions!$B$37*F8,MAX(0,F8-I8)))</f>
        <v>6129680</v>
      </c>
      <c r="H8" s="10">
        <f>Assumptions!F53</f>
        <v>5</v>
      </c>
      <c r="I8" s="7">
        <f>B8*Assumptions!$B$36*C8</f>
        <v>2200000</v>
      </c>
    </row>
    <row r="9" spans="1:9" ht="15" customHeight="1" x14ac:dyDescent="0.5">
      <c r="A9" t="s">
        <v>55</v>
      </c>
      <c r="B9" s="7">
        <f>Assumptions!C54</f>
        <v>5500000</v>
      </c>
      <c r="C9" s="10">
        <f>Assumptions!E54</f>
        <v>5</v>
      </c>
      <c r="D9" s="7">
        <f>SUM('Pro Forma'!C19:K19)+SUM('Pro Forma'!C20:K20)</f>
        <v>9953295</v>
      </c>
      <c r="E9" s="7">
        <f>B9*Assumptions!$B$33+B9*Assumptions!$B$34*C9</f>
        <v>660000</v>
      </c>
      <c r="F9" s="7">
        <f>D9-E9-B9</f>
        <v>3793295</v>
      </c>
      <c r="G9" s="7">
        <f>IF(F9&lt;=0,0,MIN(Assumptions!$B$37*F9,MAX(0,F9-I9)))</f>
        <v>758659</v>
      </c>
      <c r="H9" s="10">
        <f>Assumptions!F54</f>
        <v>6</v>
      </c>
      <c r="I9" s="7">
        <f>B9*Assumptions!$B$36*C9</f>
        <v>2200000</v>
      </c>
    </row>
    <row r="10" spans="1:9" ht="15" customHeight="1" x14ac:dyDescent="0.5">
      <c r="A10" t="s">
        <v>57</v>
      </c>
      <c r="B10" s="7">
        <f>Assumptions!C55</f>
        <v>2750000</v>
      </c>
      <c r="C10" s="10">
        <f>Assumptions!E55</f>
        <v>4</v>
      </c>
      <c r="D10" s="7">
        <f>SUM('Pro Forma'!C23:K23)</f>
        <v>15284360</v>
      </c>
      <c r="E10" s="7">
        <f>B10*Assumptions!$B$33+B10*Assumptions!$B$34*C10</f>
        <v>275000</v>
      </c>
      <c r="F10" s="7">
        <f>D10-E10-B10</f>
        <v>12259360</v>
      </c>
      <c r="G10" s="7">
        <f>IF(F10&lt;=0,0,MIN(Assumptions!$B$37*F10,MAX(0,F10-I10)))</f>
        <v>2451872</v>
      </c>
      <c r="H10" s="10">
        <f>Assumptions!F55</f>
        <v>6</v>
      </c>
      <c r="I10" s="7">
        <f>B10*Assumptions!$B$36*C10</f>
        <v>880000</v>
      </c>
    </row>
    <row r="13" spans="1:9" ht="15" customHeight="1" x14ac:dyDescent="0.5">
      <c r="A13" s="3" t="s">
        <v>92</v>
      </c>
    </row>
    <row r="14" spans="1:9" ht="15" customHeight="1" x14ac:dyDescent="0.5">
      <c r="A14" t="s">
        <v>93</v>
      </c>
      <c r="B14">
        <f>SUMIF('Pro Forma'!C30:K30,"&gt;0")/Assumptions!$B$32</f>
        <v>4.3134730054740773</v>
      </c>
    </row>
    <row r="15" spans="1:9" ht="15" customHeight="1" x14ac:dyDescent="0.5">
      <c r="A15" t="s">
        <v>94</v>
      </c>
      <c r="B15" s="8">
        <f>IRR('Pro Forma'!C30:K30)</f>
        <v>0.39719537762627977</v>
      </c>
    </row>
    <row r="16" spans="1:9" ht="15" customHeight="1" x14ac:dyDescent="0.5">
      <c r="A16" t="s">
        <v>95</v>
      </c>
      <c r="B16">
        <f>SUMIF('Pro Forma'!C38:K38,"&gt;0")/-SUMIF('Pro Forma'!C38:K38,"&lt;0")</f>
        <v>3.3524396323720507</v>
      </c>
    </row>
    <row r="17" spans="1:4" ht="15" customHeight="1" x14ac:dyDescent="0.5">
      <c r="A17" t="s">
        <v>96</v>
      </c>
      <c r="B17" s="8">
        <f>IRR('Pro Forma'!C38:K38)</f>
        <v>0.32001993468920942</v>
      </c>
    </row>
    <row r="20" spans="1:4" ht="15" customHeight="1" x14ac:dyDescent="0.5">
      <c r="A20" s="3" t="s">
        <v>97</v>
      </c>
    </row>
    <row r="21" spans="1:4" ht="45.75" customHeight="1" x14ac:dyDescent="0.5">
      <c r="A21" s="2" t="s">
        <v>98</v>
      </c>
    </row>
    <row r="22" spans="1:4" ht="15" customHeight="1" x14ac:dyDescent="0.5">
      <c r="B22" s="3" t="s">
        <v>99</v>
      </c>
      <c r="C22" s="3" t="s">
        <v>5</v>
      </c>
      <c r="D22" s="3" t="s">
        <v>6</v>
      </c>
    </row>
    <row r="23" spans="1:4" ht="15" customHeight="1" x14ac:dyDescent="0.5">
      <c r="A23" t="s">
        <v>93</v>
      </c>
      <c r="B23">
        <v>1.022</v>
      </c>
      <c r="C23">
        <v>4.3129999999999997</v>
      </c>
      <c r="D23">
        <v>7.0590000000000002</v>
      </c>
    </row>
    <row r="24" spans="1:4" ht="15" customHeight="1" x14ac:dyDescent="0.5">
      <c r="A24" t="s">
        <v>94</v>
      </c>
      <c r="B24" s="8">
        <v>5.7000000000000002E-3</v>
      </c>
      <c r="C24" s="8">
        <v>0.3972</v>
      </c>
      <c r="D24" s="8">
        <v>0.5726</v>
      </c>
    </row>
    <row r="25" spans="1:4" ht="15" customHeight="1" x14ac:dyDescent="0.5">
      <c r="A25" t="s">
        <v>95</v>
      </c>
      <c r="B25">
        <v>0.879</v>
      </c>
      <c r="C25">
        <v>3.3519999999999999</v>
      </c>
      <c r="D25">
        <v>5.4059999999999997</v>
      </c>
    </row>
    <row r="26" spans="1:4" ht="15" customHeight="1" x14ac:dyDescent="0.5">
      <c r="A26" t="s">
        <v>96</v>
      </c>
      <c r="B26" s="8">
        <v>-2.6800000000000001E-2</v>
      </c>
      <c r="C26" s="8">
        <v>0.32</v>
      </c>
      <c r="D26" s="8">
        <v>0.48110000000000003</v>
      </c>
    </row>
    <row r="28" spans="1:4" ht="281.25" customHeight="1" x14ac:dyDescent="0.5">
      <c r="A28" s="2" t="s">
        <v>100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zoomScaleNormal="100" workbookViewId="0"/>
  </sheetViews>
  <sheetFormatPr defaultColWidth="8.625" defaultRowHeight="15.75" x14ac:dyDescent="0.5"/>
  <cols>
    <col min="1" max="1" width="16" customWidth="1"/>
    <col min="2" max="6" width="10" customWidth="1"/>
  </cols>
  <sheetData>
    <row r="1" spans="1:6" ht="15.75" customHeight="1" x14ac:dyDescent="0.5">
      <c r="A1" s="1" t="s">
        <v>101</v>
      </c>
    </row>
    <row r="2" spans="1:6" ht="113.25" customHeight="1" x14ac:dyDescent="0.5">
      <c r="A2" s="2" t="s">
        <v>102</v>
      </c>
    </row>
    <row r="4" spans="1:6" ht="15" customHeight="1" x14ac:dyDescent="0.5">
      <c r="A4" s="3" t="s">
        <v>103</v>
      </c>
    </row>
    <row r="5" spans="1:6" ht="15" customHeight="1" x14ac:dyDescent="0.5">
      <c r="B5" s="8">
        <v>0.36</v>
      </c>
      <c r="C5" s="8">
        <v>0.44</v>
      </c>
      <c r="D5" s="8">
        <v>0.52</v>
      </c>
      <c r="E5" s="8">
        <v>0.57999999999999996</v>
      </c>
      <c r="F5" s="8">
        <v>0.64</v>
      </c>
    </row>
    <row r="6" spans="1:6" ht="15" customHeight="1" x14ac:dyDescent="0.5">
      <c r="A6" s="7">
        <v>400</v>
      </c>
      <c r="B6" s="8">
        <v>8.5000000000000006E-2</v>
      </c>
      <c r="C6" s="8">
        <v>9.4E-2</v>
      </c>
      <c r="D6" s="8">
        <v>0.10299999999999999</v>
      </c>
      <c r="E6" s="8">
        <v>0.109</v>
      </c>
      <c r="F6" s="8">
        <v>0.115</v>
      </c>
    </row>
    <row r="7" spans="1:6" ht="15" customHeight="1" x14ac:dyDescent="0.5">
      <c r="A7" s="7">
        <v>550</v>
      </c>
      <c r="B7" s="8">
        <v>0.13200000000000001</v>
      </c>
      <c r="C7" s="8">
        <v>0.13900000000000001</v>
      </c>
      <c r="D7" s="8">
        <v>0.14599999999999999</v>
      </c>
      <c r="E7" s="8">
        <v>0.151</v>
      </c>
      <c r="F7" s="8">
        <v>0.156</v>
      </c>
    </row>
    <row r="8" spans="1:6" ht="15" customHeight="1" x14ac:dyDescent="0.5">
      <c r="A8" s="7">
        <v>700</v>
      </c>
      <c r="B8" s="8">
        <v>0.17299999999999999</v>
      </c>
      <c r="C8" s="8">
        <v>0.18</v>
      </c>
      <c r="D8" s="8">
        <v>0.186</v>
      </c>
      <c r="E8" s="8">
        <v>0.19</v>
      </c>
      <c r="F8" s="8">
        <v>0.19500000000000001</v>
      </c>
    </row>
    <row r="9" spans="1:6" ht="15" customHeight="1" x14ac:dyDescent="0.5">
      <c r="A9" s="7">
        <v>900</v>
      </c>
      <c r="B9" s="8">
        <v>0.224</v>
      </c>
      <c r="C9" s="8">
        <v>0.22900000000000001</v>
      </c>
      <c r="D9" s="8">
        <v>0.23400000000000001</v>
      </c>
      <c r="E9" s="8">
        <v>0.23799999999999999</v>
      </c>
      <c r="F9" s="8">
        <v>0.24199999999999999</v>
      </c>
    </row>
    <row r="10" spans="1:6" ht="15" customHeight="1" x14ac:dyDescent="0.5">
      <c r="A10" s="7">
        <v>1100</v>
      </c>
      <c r="B10" s="8">
        <v>0.27</v>
      </c>
      <c r="C10" s="8">
        <v>0.27400000000000002</v>
      </c>
      <c r="D10" s="8">
        <v>0.27800000000000002</v>
      </c>
      <c r="E10" s="8">
        <v>0.28199999999999997</v>
      </c>
      <c r="F10" s="8">
        <v>0.28499999999999998</v>
      </c>
    </row>
    <row r="11" spans="1:6" ht="15" customHeight="1" x14ac:dyDescent="0.5">
      <c r="A11" s="7">
        <v>1300</v>
      </c>
      <c r="B11" s="8">
        <v>0.311</v>
      </c>
      <c r="C11" s="8">
        <v>0.315</v>
      </c>
      <c r="D11" s="8">
        <v>0.31900000000000001</v>
      </c>
      <c r="E11" s="11">
        <v>0.32200000000000001</v>
      </c>
      <c r="F11" s="8">
        <v>0.32400000000000001</v>
      </c>
    </row>
    <row r="12" spans="1:6" ht="15" customHeight="1" x14ac:dyDescent="0.5">
      <c r="A12" s="7">
        <v>1500</v>
      </c>
      <c r="B12" s="8">
        <v>0.34899999999999998</v>
      </c>
      <c r="C12" s="8">
        <v>0.35299999999999998</v>
      </c>
      <c r="D12" s="8">
        <v>0.35599999999999998</v>
      </c>
      <c r="E12" s="8">
        <v>0.35899999999999999</v>
      </c>
      <c r="F12" s="8">
        <v>0.36099999999999999</v>
      </c>
    </row>
    <row r="14" spans="1:6" ht="34.5" customHeight="1" x14ac:dyDescent="0.5">
      <c r="A14" s="2" t="s">
        <v>104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Assumptions</vt:lpstr>
      <vt:lpstr>Pro Forma</vt:lpstr>
      <vt:lpstr>Waterfall &amp; Returns</vt:lpstr>
      <vt:lpstr>Sensitivity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Spearhead Fund I — Pro Forma v3 (60/20/20)</dc:title>
  <dc:subject/>
  <dc:creator>Spearhead Capital</dc:creator>
  <dc:description/>
  <cp:lastModifiedBy>Enzo D'Angelo</cp:lastModifiedBy>
  <cp:revision>0</cp:revision>
  <dcterms:created xsi:type="dcterms:W3CDTF">2026-07-15T23:59:32Z</dcterms:created>
  <dcterms:modified xsi:type="dcterms:W3CDTF">2026-07-16T15:38:03Z</dcterms:modified>
  <dc:language>en-US</dc:language>
</cp:coreProperties>
</file>